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esktop\DOCUMENTOS ALBERTO AÑO 4\DIRECCIÓN FINANCIERA\EJERCICIOS\"/>
    </mc:Choice>
  </mc:AlternateContent>
  <xr:revisionPtr revIDLastSave="0" documentId="13_ncr:1_{BF668D28-9BD6-4229-8ADF-77F8ED5AFFCA}" xr6:coauthVersionLast="45" xr6:coauthVersionMax="45" xr10:uidLastSave="{00000000-0000-0000-0000-000000000000}"/>
  <bookViews>
    <workbookView xWindow="-120" yWindow="-120" windowWidth="20730" windowHeight="11160" activeTab="5" xr2:uid="{6D094FE9-FC54-4C51-A882-54C26DF39F18}"/>
  </bookViews>
  <sheets>
    <sheet name="Ex. 1" sheetId="1" r:id="rId1"/>
    <sheet name="Ex.2" sheetId="2" r:id="rId2"/>
    <sheet name="Ex.3" sheetId="3" r:id="rId3"/>
    <sheet name="EX. 4" sheetId="4" r:id="rId4"/>
    <sheet name="Ex. 5" sheetId="5" r:id="rId5"/>
    <sheet name="Ex. 6" sheetId="6" r:id="rId6"/>
    <sheet name="Ex. 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6" l="1"/>
  <c r="G14" i="2" l="1"/>
  <c r="N12" i="3" l="1"/>
  <c r="M12" i="3"/>
  <c r="L12" i="3"/>
  <c r="K12" i="3"/>
  <c r="J12" i="3"/>
  <c r="I9" i="7" l="1"/>
  <c r="I11" i="7"/>
  <c r="O8" i="7"/>
  <c r="N8" i="7"/>
  <c r="M8" i="7"/>
  <c r="L8" i="7"/>
  <c r="K8" i="7"/>
  <c r="I7" i="7"/>
  <c r="C10" i="7"/>
  <c r="D8" i="7"/>
  <c r="F4" i="7"/>
  <c r="D5" i="7"/>
  <c r="E5" i="7" s="1"/>
  <c r="D4" i="7"/>
  <c r="D6" i="7" s="1"/>
  <c r="E3" i="7"/>
  <c r="F3" i="7" s="1"/>
  <c r="G3" i="7" s="1"/>
  <c r="H3" i="7" s="1"/>
  <c r="E2" i="7"/>
  <c r="F2" i="7" s="1"/>
  <c r="G2" i="7" s="1"/>
  <c r="H2" i="7" s="1"/>
  <c r="L18" i="6"/>
  <c r="C11" i="6"/>
  <c r="O12" i="6"/>
  <c r="N12" i="6"/>
  <c r="M12" i="6"/>
  <c r="L12" i="6"/>
  <c r="K12" i="6"/>
  <c r="C12" i="6"/>
  <c r="O10" i="6"/>
  <c r="G8" i="6"/>
  <c r="H5" i="6"/>
  <c r="H8" i="6" s="1"/>
  <c r="G5" i="6"/>
  <c r="F5" i="6"/>
  <c r="F8" i="6" s="1"/>
  <c r="E5" i="6"/>
  <c r="E8" i="6" s="1"/>
  <c r="D5" i="6"/>
  <c r="D8" i="6" s="1"/>
  <c r="H3" i="6"/>
  <c r="O11" i="6" s="1"/>
  <c r="G3" i="6"/>
  <c r="N11" i="6" s="1"/>
  <c r="F3" i="6"/>
  <c r="M11" i="6" s="1"/>
  <c r="E3" i="6"/>
  <c r="L11" i="6" s="1"/>
  <c r="D3" i="6"/>
  <c r="K11" i="6" s="1"/>
  <c r="C10" i="6" s="1"/>
  <c r="H2" i="6"/>
  <c r="G2" i="6"/>
  <c r="N10" i="6" s="1"/>
  <c r="F2" i="6"/>
  <c r="M10" i="6" s="1"/>
  <c r="E2" i="6"/>
  <c r="D2" i="6"/>
  <c r="D7" i="7" l="1"/>
  <c r="F5" i="7"/>
  <c r="E8" i="7"/>
  <c r="G4" i="7"/>
  <c r="C11" i="7"/>
  <c r="C12" i="7" s="1"/>
  <c r="H4" i="7"/>
  <c r="E4" i="7"/>
  <c r="E6" i="7" s="1"/>
  <c r="C13" i="6"/>
  <c r="H11" i="6"/>
  <c r="G9" i="6"/>
  <c r="E10" i="6"/>
  <c r="D6" i="6"/>
  <c r="H6" i="6"/>
  <c r="K10" i="6"/>
  <c r="C9" i="6" s="1"/>
  <c r="L10" i="6"/>
  <c r="E9" i="6" s="1"/>
  <c r="H10" i="6"/>
  <c r="G10" i="6"/>
  <c r="F9" i="6"/>
  <c r="D10" i="6"/>
  <c r="F10" i="6"/>
  <c r="E6" i="6"/>
  <c r="F6" i="6"/>
  <c r="G6" i="6"/>
  <c r="C6" i="5"/>
  <c r="A6" i="5"/>
  <c r="F3" i="5"/>
  <c r="B3" i="5"/>
  <c r="H7" i="5"/>
  <c r="F7" i="5"/>
  <c r="G7" i="5"/>
  <c r="E7" i="5"/>
  <c r="B11" i="4"/>
  <c r="B10" i="4"/>
  <c r="D8" i="4"/>
  <c r="E8" i="4" s="1"/>
  <c r="F8" i="4" s="1"/>
  <c r="G8" i="4" s="1"/>
  <c r="C8" i="4"/>
  <c r="B8" i="4"/>
  <c r="G11" i="3"/>
  <c r="G14" i="3" s="1"/>
  <c r="F11" i="3"/>
  <c r="E11" i="3"/>
  <c r="D11" i="3"/>
  <c r="D14" i="3" s="1"/>
  <c r="C11" i="3"/>
  <c r="C14" i="3" s="1"/>
  <c r="C15" i="3" s="1"/>
  <c r="G10" i="3"/>
  <c r="F10" i="3"/>
  <c r="E10" i="3"/>
  <c r="D10" i="3"/>
  <c r="G9" i="3"/>
  <c r="F9" i="3"/>
  <c r="E9" i="3"/>
  <c r="D9" i="3"/>
  <c r="C10" i="3"/>
  <c r="F14" i="3"/>
  <c r="H13" i="3"/>
  <c r="C12" i="3"/>
  <c r="H10" i="3"/>
  <c r="N11" i="3"/>
  <c r="M11" i="3"/>
  <c r="L11" i="3"/>
  <c r="K11" i="3"/>
  <c r="J11" i="3"/>
  <c r="J10" i="3"/>
  <c r="K10" i="3"/>
  <c r="L10" i="3"/>
  <c r="M10" i="3"/>
  <c r="N10" i="3"/>
  <c r="C9" i="3"/>
  <c r="H8" i="3"/>
  <c r="G8" i="3"/>
  <c r="F8" i="3"/>
  <c r="E8" i="3"/>
  <c r="D7" i="3"/>
  <c r="E7" i="3"/>
  <c r="F7" i="3"/>
  <c r="G7" i="3"/>
  <c r="H7" i="3"/>
  <c r="D6" i="3"/>
  <c r="D8" i="3"/>
  <c r="H6" i="3"/>
  <c r="G6" i="3"/>
  <c r="F6" i="3"/>
  <c r="E6" i="3"/>
  <c r="E5" i="3"/>
  <c r="F5" i="3" s="1"/>
  <c r="G5" i="3" s="1"/>
  <c r="H5" i="3" s="1"/>
  <c r="D5" i="3"/>
  <c r="J5" i="3"/>
  <c r="J4" i="3"/>
  <c r="C13" i="7" l="1"/>
  <c r="F11" i="7"/>
  <c r="F12" i="7" s="1"/>
  <c r="G5" i="7"/>
  <c r="F8" i="7"/>
  <c r="E7" i="7"/>
  <c r="E9" i="7"/>
  <c r="D11" i="7"/>
  <c r="D12" i="7" s="1"/>
  <c r="F6" i="7"/>
  <c r="D9" i="7"/>
  <c r="E14" i="3"/>
  <c r="F7" i="6"/>
  <c r="F13" i="6"/>
  <c r="D7" i="6"/>
  <c r="D13" i="6"/>
  <c r="E7" i="6"/>
  <c r="E13" i="6"/>
  <c r="H7" i="6"/>
  <c r="G7" i="6"/>
  <c r="G13" i="6"/>
  <c r="D9" i="6"/>
  <c r="H9" i="6"/>
  <c r="H13" i="6" s="1"/>
  <c r="F18" i="6" s="1"/>
  <c r="H11" i="3"/>
  <c r="D15" i="3"/>
  <c r="E15" i="3" s="1"/>
  <c r="F15" i="3" s="1"/>
  <c r="G15" i="3" s="1"/>
  <c r="H9" i="3"/>
  <c r="F18" i="2"/>
  <c r="H14" i="2"/>
  <c r="F14" i="2"/>
  <c r="E14" i="2"/>
  <c r="D14" i="2"/>
  <c r="C14" i="2"/>
  <c r="C15" i="2"/>
  <c r="H10" i="2"/>
  <c r="H11" i="2"/>
  <c r="E9" i="2"/>
  <c r="D9" i="2"/>
  <c r="H9" i="2" s="1"/>
  <c r="H13" i="2"/>
  <c r="F7" i="2"/>
  <c r="H6" i="2"/>
  <c r="H7" i="2" s="1"/>
  <c r="G6" i="2"/>
  <c r="G7" i="2" s="1"/>
  <c r="F6" i="2"/>
  <c r="E6" i="2"/>
  <c r="D6" i="2"/>
  <c r="H10" i="1"/>
  <c r="L7" i="1"/>
  <c r="E4" i="1"/>
  <c r="F4" i="1" s="1"/>
  <c r="G4" i="1" s="1"/>
  <c r="H4" i="1" s="1"/>
  <c r="H3" i="1"/>
  <c r="G3" i="1"/>
  <c r="F3" i="1"/>
  <c r="H2" i="1"/>
  <c r="G11" i="1" s="1"/>
  <c r="G2" i="1"/>
  <c r="F2" i="1"/>
  <c r="F11" i="1" s="1"/>
  <c r="E2" i="1"/>
  <c r="E11" i="1" s="1"/>
  <c r="D2" i="1"/>
  <c r="C11" i="1" s="1"/>
  <c r="C12" i="1" s="1"/>
  <c r="D3" i="1"/>
  <c r="E3" i="1"/>
  <c r="D5" i="1"/>
  <c r="E5" i="1" s="1"/>
  <c r="F5" i="1" s="1"/>
  <c r="G5" i="1" s="1"/>
  <c r="H5" i="1" s="1"/>
  <c r="H8" i="1" s="1"/>
  <c r="D11" i="1" l="1"/>
  <c r="H11" i="1"/>
  <c r="E11" i="7"/>
  <c r="E12" i="7" s="1"/>
  <c r="D13" i="7"/>
  <c r="E13" i="7" s="1"/>
  <c r="F7" i="7"/>
  <c r="H5" i="7"/>
  <c r="G8" i="7"/>
  <c r="G6" i="7"/>
  <c r="H14" i="3"/>
  <c r="F18" i="3" s="1"/>
  <c r="I18" i="6"/>
  <c r="C14" i="6"/>
  <c r="D14" i="6" s="1"/>
  <c r="E14" i="6" s="1"/>
  <c r="F14" i="6" s="1"/>
  <c r="D18" i="3"/>
  <c r="D15" i="2"/>
  <c r="D7" i="2"/>
  <c r="E7" i="2"/>
  <c r="D18" i="2" s="1"/>
  <c r="D6" i="1"/>
  <c r="D7" i="1" s="1"/>
  <c r="G8" i="1"/>
  <c r="G12" i="1" s="1"/>
  <c r="C13" i="1"/>
  <c r="F8" i="1"/>
  <c r="D8" i="1"/>
  <c r="D12" i="1" s="1"/>
  <c r="E8" i="1"/>
  <c r="E6" i="1"/>
  <c r="E7" i="1" s="1"/>
  <c r="F6" i="1"/>
  <c r="F7" i="1" s="1"/>
  <c r="G6" i="1"/>
  <c r="G7" i="1" s="1"/>
  <c r="H6" i="1"/>
  <c r="H7" i="1" s="1"/>
  <c r="H15" i="3" l="1"/>
  <c r="E12" i="1"/>
  <c r="F12" i="1"/>
  <c r="H12" i="1"/>
  <c r="H8" i="7"/>
  <c r="H6" i="7"/>
  <c r="F9" i="7"/>
  <c r="G7" i="7"/>
  <c r="B18" i="3"/>
  <c r="G14" i="6"/>
  <c r="H14" i="6" s="1"/>
  <c r="E15" i="2"/>
  <c r="F15" i="2" s="1"/>
  <c r="G15" i="2" s="1"/>
  <c r="D13" i="1"/>
  <c r="E13" i="1" s="1"/>
  <c r="H15" i="2" l="1"/>
  <c r="B18" i="2"/>
  <c r="F17" i="1"/>
  <c r="E18" i="1"/>
  <c r="F13" i="7"/>
  <c r="G9" i="7"/>
  <c r="H11" i="7"/>
  <c r="H12" i="7" s="1"/>
  <c r="G11" i="7"/>
  <c r="G12" i="7" s="1"/>
  <c r="H7" i="7"/>
  <c r="H9" i="7" s="1"/>
  <c r="F13" i="1"/>
  <c r="I17" i="7" l="1"/>
  <c r="F17" i="7"/>
  <c r="L17" i="7"/>
  <c r="G13" i="7"/>
  <c r="H13" i="7" s="1"/>
  <c r="G13" i="1"/>
  <c r="H13" i="1" l="1"/>
  <c r="B18" i="1"/>
</calcChain>
</file>

<file path=xl/sharedStrings.xml><?xml version="1.0" encoding="utf-8"?>
<sst xmlns="http://schemas.openxmlformats.org/spreadsheetml/2006/main" count="200" uniqueCount="98">
  <si>
    <t>+ Sales</t>
  </si>
  <si>
    <t>- Cost of Sales</t>
  </si>
  <si>
    <t>- Depreciation</t>
  </si>
  <si>
    <t>+/- Earnings Before Interest and Taxes (EBIT)</t>
  </si>
  <si>
    <t>- Taxes</t>
  </si>
  <si>
    <t>% / € / …</t>
  </si>
  <si>
    <t>Year 1</t>
  </si>
  <si>
    <t>Year 2</t>
  </si>
  <si>
    <t>Year 3</t>
  </si>
  <si>
    <t>Year 4</t>
  </si>
  <si>
    <t>Year 5</t>
  </si>
  <si>
    <t>cost of machine</t>
  </si>
  <si>
    <t>salvage value</t>
  </si>
  <si>
    <t>years</t>
  </si>
  <si>
    <t>depreciation</t>
  </si>
  <si>
    <t>Cost of depreciation</t>
  </si>
  <si>
    <t>Year 0</t>
  </si>
  <si>
    <t>- Fixed Cost</t>
  </si>
  <si>
    <t>Depreciation</t>
  </si>
  <si>
    <t>+ Depreciation</t>
  </si>
  <si>
    <t>- Capital Expenditure</t>
  </si>
  <si>
    <t>FCF</t>
  </si>
  <si>
    <t>+/- FCF</t>
  </si>
  <si>
    <t>+/- Cumulative FCF</t>
  </si>
  <si>
    <t>Payback</t>
  </si>
  <si>
    <t>NPV</t>
  </si>
  <si>
    <t>Tasa</t>
  </si>
  <si>
    <t>VNA/NPV</t>
  </si>
  <si>
    <t>Modified Internal Rate</t>
  </si>
  <si>
    <t>MIRR</t>
  </si>
  <si>
    <t>Explanation</t>
  </si>
  <si>
    <t xml:space="preserve">As you are selling something which value in the books is 0, we need to tax it, as it is a gain to the company. </t>
  </si>
  <si>
    <t>- Taxes selling price</t>
  </si>
  <si>
    <t>- Investment in Working Capital</t>
  </si>
  <si>
    <r>
      <t xml:space="preserve">The </t>
    </r>
    <r>
      <rPr>
        <b/>
        <sz val="11"/>
        <color theme="1"/>
        <rFont val="Calibri"/>
        <family val="2"/>
        <scheme val="minor"/>
      </rPr>
      <t>investment in working capital</t>
    </r>
    <r>
      <rPr>
        <sz val="11"/>
        <color theme="1"/>
        <rFont val="Calibri"/>
        <family val="2"/>
        <scheme val="minor"/>
      </rPr>
      <t xml:space="preserve"> is the same as saying all the changes in the inventories, supplies …</t>
    </r>
  </si>
  <si>
    <t>- Operating Cost</t>
  </si>
  <si>
    <t>-/+ Earning before interst and taxes</t>
  </si>
  <si>
    <t>-/+ Change in stocks</t>
  </si>
  <si>
    <t xml:space="preserve">-/+ Change in receivables </t>
  </si>
  <si>
    <t>-/+ Change in Payables</t>
  </si>
  <si>
    <t>-/+ Capital Expenditure</t>
  </si>
  <si>
    <t>- Taxes on selling price</t>
  </si>
  <si>
    <t>Cumulative FCF</t>
  </si>
  <si>
    <t>NPV/VNA</t>
  </si>
  <si>
    <t>- Costs of goods sold</t>
  </si>
  <si>
    <t>- Other operating expenses</t>
  </si>
  <si>
    <t>Value of the investment</t>
  </si>
  <si>
    <t>cost investment</t>
  </si>
  <si>
    <t>book value</t>
  </si>
  <si>
    <t>depreciated</t>
  </si>
  <si>
    <t>EBIT</t>
  </si>
  <si>
    <t>Investment in Working Capital</t>
  </si>
  <si>
    <t>+ Change in suppliers</t>
  </si>
  <si>
    <t>Suppliers</t>
  </si>
  <si>
    <t>- Change in inventories</t>
  </si>
  <si>
    <t>Net Present Value</t>
  </si>
  <si>
    <t>inventories</t>
  </si>
  <si>
    <t>receivables</t>
  </si>
  <si>
    <t>- Change in receivables</t>
  </si>
  <si>
    <t>We won't accept the investment</t>
  </si>
  <si>
    <t>Investment</t>
  </si>
  <si>
    <t>Rate of Increase</t>
  </si>
  <si>
    <t>Year 6</t>
  </si>
  <si>
    <t>Required return</t>
  </si>
  <si>
    <t>Present Value</t>
  </si>
  <si>
    <t xml:space="preserve">NPV </t>
  </si>
  <si>
    <t xml:space="preserve">We accept it as we have what is the return that we got. </t>
  </si>
  <si>
    <t xml:space="preserve">Break even rate </t>
  </si>
  <si>
    <t>I calculated through the calculator</t>
  </si>
  <si>
    <t>Look at the word</t>
  </si>
  <si>
    <t>Rate reinvested</t>
  </si>
  <si>
    <t>Reinvestments</t>
  </si>
  <si>
    <t>Total</t>
  </si>
  <si>
    <t>Real FCF</t>
  </si>
  <si>
    <t>We just have to calculate all the different cashflows and add them to the end</t>
  </si>
  <si>
    <t>For both, NPV and the MIRR the decision is accept it</t>
  </si>
  <si>
    <t>Value of the project</t>
  </si>
  <si>
    <t>60 days</t>
  </si>
  <si>
    <t>40 days</t>
  </si>
  <si>
    <t>20 days</t>
  </si>
  <si>
    <t>-/+ Change in receivables</t>
  </si>
  <si>
    <t>-/+ Change in inventories</t>
  </si>
  <si>
    <t>-/+ Change in payables</t>
  </si>
  <si>
    <t>It is the cost of all the goods, we take the cost and not the sales as it is the raw cost, not the price which adds value</t>
  </si>
  <si>
    <t>Inventories</t>
  </si>
  <si>
    <t>IRR</t>
  </si>
  <si>
    <t>- Variable Cost</t>
  </si>
  <si>
    <t>- Salaries</t>
  </si>
  <si>
    <t>-/+ Change in Inventories</t>
  </si>
  <si>
    <t>Change in Inventories</t>
  </si>
  <si>
    <t>NVP</t>
  </si>
  <si>
    <t>Explication</t>
  </si>
  <si>
    <t>When we have no profits, instead losses, the taxes are paid to us, not otherwise</t>
  </si>
  <si>
    <t>Cashflow from Operations (CFFO)</t>
  </si>
  <si>
    <t>We use the 5 % from the sales because it says it on the text</t>
  </si>
  <si>
    <t>Intermidiate cashflow (CFFO) which we do not really need to do it</t>
  </si>
  <si>
    <t>-</t>
  </si>
  <si>
    <t>More than 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</si>
</sst>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5" formatCode="#,##0.00\ &quot;€&quot;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2" fillId="2" borderId="0" xfId="0" applyNumberFormat="1" applyFont="1" applyFill="1" applyAlignment="1">
      <alignment wrapText="1"/>
    </xf>
    <xf numFmtId="49" fontId="2" fillId="0" borderId="0" xfId="0" applyNumberFormat="1" applyFont="1"/>
    <xf numFmtId="0" fontId="2" fillId="3" borderId="0" xfId="0" applyFont="1" applyFill="1" applyAlignment="1">
      <alignment horizontal="center"/>
    </xf>
    <xf numFmtId="0" fontId="2" fillId="4" borderId="0" xfId="0" applyFont="1" applyFill="1"/>
    <xf numFmtId="0" fontId="2" fillId="0" borderId="0" xfId="0" applyFont="1"/>
    <xf numFmtId="44" fontId="0" fillId="0" borderId="0" xfId="1" applyFont="1"/>
    <xf numFmtId="44" fontId="0" fillId="0" borderId="0" xfId="0" applyNumberFormat="1"/>
    <xf numFmtId="44" fontId="2" fillId="0" borderId="0" xfId="0" applyNumberFormat="1" applyFont="1"/>
    <xf numFmtId="0" fontId="2" fillId="5" borderId="0" xfId="0" applyFont="1" applyFill="1" applyAlignment="1">
      <alignment horizontal="center"/>
    </xf>
    <xf numFmtId="164" fontId="0" fillId="0" borderId="0" xfId="0" applyNumberFormat="1"/>
    <xf numFmtId="9" fontId="0" fillId="0" borderId="0" xfId="0" applyNumberFormat="1"/>
    <xf numFmtId="0" fontId="0" fillId="2" borderId="0" xfId="0" applyFill="1"/>
    <xf numFmtId="44" fontId="0" fillId="2" borderId="0" xfId="0" applyNumberFormat="1" applyFill="1"/>
    <xf numFmtId="49" fontId="2" fillId="2" borderId="0" xfId="0" applyNumberFormat="1" applyFont="1" applyFill="1"/>
    <xf numFmtId="0" fontId="2" fillId="2" borderId="0" xfId="0" applyFont="1" applyFill="1"/>
    <xf numFmtId="2" fontId="0" fillId="0" borderId="0" xfId="0" applyNumberFormat="1"/>
    <xf numFmtId="49" fontId="2" fillId="0" borderId="2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2" fillId="0" borderId="2" xfId="0" applyFont="1" applyBorder="1"/>
    <xf numFmtId="9" fontId="0" fillId="0" borderId="5" xfId="0" applyNumberFormat="1" applyBorder="1"/>
    <xf numFmtId="0" fontId="0" fillId="0" borderId="6" xfId="0" applyBorder="1"/>
    <xf numFmtId="49" fontId="0" fillId="0" borderId="0" xfId="0" applyNumberFormat="1" applyFont="1"/>
    <xf numFmtId="44" fontId="2" fillId="2" borderId="0" xfId="0" applyNumberFormat="1" applyFont="1" applyFill="1"/>
    <xf numFmtId="44" fontId="0" fillId="6" borderId="0" xfId="0" applyNumberFormat="1" applyFill="1"/>
    <xf numFmtId="44" fontId="0" fillId="3" borderId="0" xfId="0" applyNumberFormat="1" applyFill="1"/>
    <xf numFmtId="0" fontId="0" fillId="4" borderId="0" xfId="0" applyFill="1"/>
    <xf numFmtId="0" fontId="0" fillId="5" borderId="0" xfId="0" applyFill="1"/>
    <xf numFmtId="49" fontId="0" fillId="2" borderId="0" xfId="0" applyNumberFormat="1" applyFill="1"/>
    <xf numFmtId="10" fontId="0" fillId="0" borderId="0" xfId="0" applyNumberFormat="1"/>
    <xf numFmtId="49" fontId="2" fillId="0" borderId="0" xfId="0" applyNumberFormat="1" applyFont="1" applyFill="1"/>
    <xf numFmtId="49" fontId="0" fillId="0" borderId="0" xfId="0" applyNumberFormat="1" applyFont="1" applyFill="1"/>
    <xf numFmtId="9" fontId="0" fillId="0" borderId="0" xfId="2" applyFont="1"/>
    <xf numFmtId="0" fontId="0" fillId="0" borderId="0" xfId="0" applyNumberFormat="1"/>
    <xf numFmtId="0" fontId="0" fillId="2" borderId="0" xfId="0" applyNumberFormat="1" applyFill="1"/>
    <xf numFmtId="0" fontId="0" fillId="3" borderId="0" xfId="0" applyNumberFormat="1" applyFont="1" applyFill="1"/>
    <xf numFmtId="0" fontId="0" fillId="6" borderId="0" xfId="0" applyNumberFormat="1" applyFont="1" applyFill="1"/>
    <xf numFmtId="0" fontId="0" fillId="3" borderId="0" xfId="0" applyNumberFormat="1" applyFill="1"/>
    <xf numFmtId="0" fontId="0" fillId="0" borderId="0" xfId="0" applyNumberFormat="1" applyFill="1"/>
    <xf numFmtId="8" fontId="0" fillId="0" borderId="0" xfId="0" applyNumberFormat="1"/>
    <xf numFmtId="0" fontId="0" fillId="7" borderId="0" xfId="0" applyNumberFormat="1" applyFont="1" applyFill="1"/>
    <xf numFmtId="0" fontId="0" fillId="6" borderId="0" xfId="0" applyNumberFormat="1" applyFill="1"/>
    <xf numFmtId="0" fontId="0" fillId="3" borderId="0" xfId="0" applyFill="1"/>
    <xf numFmtId="0" fontId="0" fillId="6" borderId="0" xfId="0" applyFill="1"/>
    <xf numFmtId="44" fontId="0" fillId="3" borderId="0" xfId="1" applyFont="1" applyFill="1"/>
    <xf numFmtId="44" fontId="0" fillId="6" borderId="0" xfId="1" applyFont="1" applyFill="1"/>
    <xf numFmtId="0" fontId="2" fillId="8" borderId="0" xfId="0" applyFont="1" applyFill="1"/>
    <xf numFmtId="44" fontId="2" fillId="8" borderId="0" xfId="0" applyNumberFormat="1" applyFont="1" applyFill="1"/>
    <xf numFmtId="10" fontId="2" fillId="8" borderId="0" xfId="0" applyNumberFormat="1" applyFont="1" applyFill="1"/>
    <xf numFmtId="0" fontId="2" fillId="5" borderId="0" xfId="0" applyFont="1" applyFill="1"/>
    <xf numFmtId="0" fontId="2" fillId="0" borderId="0" xfId="0" applyFont="1" applyFill="1"/>
    <xf numFmtId="9" fontId="0" fillId="0" borderId="0" xfId="1" applyNumberFormat="1" applyFont="1"/>
    <xf numFmtId="0" fontId="0" fillId="0" borderId="0" xfId="0" applyFill="1"/>
    <xf numFmtId="164" fontId="0" fillId="2" borderId="0" xfId="0" applyNumberFormat="1" applyFill="1"/>
    <xf numFmtId="44" fontId="0" fillId="2" borderId="0" xfId="1" applyFont="1" applyFill="1"/>
    <xf numFmtId="0" fontId="0" fillId="0" borderId="0" xfId="0" applyFont="1"/>
    <xf numFmtId="2" fontId="5" fillId="8" borderId="0" xfId="0" applyNumberFormat="1" applyFont="1" applyFill="1"/>
    <xf numFmtId="0" fontId="5" fillId="8" borderId="0" xfId="0" applyFont="1" applyFill="1"/>
    <xf numFmtId="44" fontId="5" fillId="8" borderId="0" xfId="0" applyNumberFormat="1" applyFont="1" applyFill="1"/>
    <xf numFmtId="166" fontId="5" fillId="8" borderId="0" xfId="0" applyNumberFormat="1" applyFont="1" applyFill="1"/>
    <xf numFmtId="2" fontId="0" fillId="2" borderId="0" xfId="0" applyNumberFormat="1" applyFill="1"/>
    <xf numFmtId="44" fontId="6" fillId="2" borderId="0" xfId="0" applyNumberFormat="1" applyFont="1" applyFill="1"/>
    <xf numFmtId="0" fontId="6" fillId="2" borderId="0" xfId="0" applyFont="1" applyFill="1"/>
    <xf numFmtId="10" fontId="4" fillId="2" borderId="0" xfId="0" applyNumberFormat="1" applyFont="1" applyFill="1"/>
    <xf numFmtId="166" fontId="5" fillId="8" borderId="4" xfId="0" applyNumberFormat="1" applyFont="1" applyFill="1" applyBorder="1"/>
    <xf numFmtId="0" fontId="5" fillId="8" borderId="5" xfId="0" applyFont="1" applyFill="1" applyBorder="1"/>
    <xf numFmtId="0" fontId="5" fillId="8" borderId="6" xfId="0" applyFont="1" applyFill="1" applyBorder="1"/>
    <xf numFmtId="165" fontId="5" fillId="8" borderId="7" xfId="0" applyNumberFormat="1" applyFont="1" applyFill="1" applyBorder="1"/>
    <xf numFmtId="2" fontId="5" fillId="8" borderId="6" xfId="0" applyNumberFormat="1" applyFont="1" applyFill="1" applyBorder="1"/>
    <xf numFmtId="0" fontId="5" fillId="8" borderId="7" xfId="0" applyFont="1" applyFill="1" applyBorder="1"/>
    <xf numFmtId="0" fontId="2" fillId="0" borderId="0" xfId="0" applyFont="1" applyAlignment="1">
      <alignment horizontal="left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1253-A481-4BD3-811A-F54B35E042E7}">
  <dimension ref="A1:M23"/>
  <sheetViews>
    <sheetView topLeftCell="A4" workbookViewId="0">
      <selection activeCell="H19" sqref="H19"/>
    </sheetView>
  </sheetViews>
  <sheetFormatPr baseColWidth="10" defaultRowHeight="15" x14ac:dyDescent="0.25"/>
  <cols>
    <col min="1" max="1" width="28.7109375" style="1" bestFit="1" customWidth="1"/>
    <col min="4" max="8" width="16.7109375" bestFit="1" customWidth="1"/>
    <col min="10" max="10" width="16.7109375" bestFit="1" customWidth="1"/>
    <col min="11" max="11" width="14.85546875" bestFit="1" customWidth="1"/>
    <col min="12" max="12" width="15.5703125" bestFit="1" customWidth="1"/>
    <col min="13" max="13" width="12.28515625" bestFit="1" customWidth="1"/>
  </cols>
  <sheetData>
    <row r="1" spans="1:13" x14ac:dyDescent="0.25">
      <c r="B1" s="5" t="s">
        <v>5</v>
      </c>
      <c r="C1" s="11" t="s">
        <v>16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</row>
    <row r="2" spans="1:13" x14ac:dyDescent="0.25">
      <c r="A2" s="1" t="s">
        <v>0</v>
      </c>
      <c r="B2" s="8">
        <v>20</v>
      </c>
      <c r="D2" s="9">
        <f>B2*5</f>
        <v>100</v>
      </c>
      <c r="E2" s="9">
        <f>B2*6</f>
        <v>120</v>
      </c>
      <c r="F2" s="9">
        <f>B2*7</f>
        <v>140</v>
      </c>
      <c r="G2" s="9">
        <f>B2*9</f>
        <v>180</v>
      </c>
      <c r="H2" s="9">
        <f>B2*10</f>
        <v>200</v>
      </c>
    </row>
    <row r="3" spans="1:13" x14ac:dyDescent="0.25">
      <c r="A3" s="1" t="s">
        <v>1</v>
      </c>
      <c r="B3" s="8">
        <v>12</v>
      </c>
      <c r="D3" s="9">
        <f>B3*5</f>
        <v>60</v>
      </c>
      <c r="E3" s="9">
        <f>B3*6</f>
        <v>72</v>
      </c>
      <c r="F3" s="9">
        <f>B3*7</f>
        <v>84</v>
      </c>
      <c r="G3" s="9">
        <f>B3*9</f>
        <v>108</v>
      </c>
      <c r="H3" s="9">
        <f>B3*10</f>
        <v>120</v>
      </c>
    </row>
    <row r="4" spans="1:13" x14ac:dyDescent="0.25">
      <c r="A4" s="1" t="s">
        <v>17</v>
      </c>
      <c r="D4" s="12">
        <v>16</v>
      </c>
      <c r="E4" s="12">
        <f>D4</f>
        <v>16</v>
      </c>
      <c r="F4" s="12">
        <f t="shared" ref="F4:H4" si="0">E4</f>
        <v>16</v>
      </c>
      <c r="G4" s="12">
        <f t="shared" si="0"/>
        <v>16</v>
      </c>
      <c r="H4" s="12">
        <f t="shared" si="0"/>
        <v>16</v>
      </c>
    </row>
    <row r="5" spans="1:13" ht="15.75" thickBot="1" x14ac:dyDescent="0.3">
      <c r="A5" s="2" t="s">
        <v>2</v>
      </c>
      <c r="D5" s="9">
        <f>L7</f>
        <v>24</v>
      </c>
      <c r="E5" s="9">
        <f>D5</f>
        <v>24</v>
      </c>
      <c r="F5" s="9">
        <f>E5</f>
        <v>24</v>
      </c>
      <c r="G5" s="9">
        <f>F5</f>
        <v>24</v>
      </c>
      <c r="H5" s="9">
        <f>G5</f>
        <v>24</v>
      </c>
      <c r="J5" s="7" t="s">
        <v>15</v>
      </c>
    </row>
    <row r="6" spans="1:13" ht="30.75" thickTop="1" x14ac:dyDescent="0.25">
      <c r="A6" s="3" t="s">
        <v>3</v>
      </c>
      <c r="B6" s="14"/>
      <c r="C6" s="14"/>
      <c r="D6" s="15">
        <f>D2-SUM(D3:D5)</f>
        <v>0</v>
      </c>
      <c r="E6" s="15">
        <f t="shared" ref="E6:H6" si="1">E2-SUM(E3:E5)</f>
        <v>8</v>
      </c>
      <c r="F6" s="15">
        <f t="shared" si="1"/>
        <v>16</v>
      </c>
      <c r="G6" s="15">
        <f t="shared" si="1"/>
        <v>32</v>
      </c>
      <c r="H6" s="15">
        <f t="shared" si="1"/>
        <v>40</v>
      </c>
      <c r="J6" s="8">
        <v>120</v>
      </c>
      <c r="K6" t="s">
        <v>11</v>
      </c>
      <c r="L6">
        <v>5</v>
      </c>
      <c r="M6" t="s">
        <v>13</v>
      </c>
    </row>
    <row r="7" spans="1:13" x14ac:dyDescent="0.25">
      <c r="A7" s="1" t="s">
        <v>4</v>
      </c>
      <c r="B7" s="13">
        <v>0.3</v>
      </c>
      <c r="D7" s="9">
        <f>D6*$B$7</f>
        <v>0</v>
      </c>
      <c r="E7" s="9">
        <f t="shared" ref="E7:H7" si="2">E6*$B$7</f>
        <v>2.4</v>
      </c>
      <c r="F7" s="9">
        <f t="shared" si="2"/>
        <v>4.8</v>
      </c>
      <c r="G7" s="9">
        <f t="shared" si="2"/>
        <v>9.6</v>
      </c>
      <c r="H7" s="9">
        <f t="shared" si="2"/>
        <v>12</v>
      </c>
      <c r="J7" s="8">
        <v>10</v>
      </c>
      <c r="K7" t="s">
        <v>12</v>
      </c>
      <c r="L7" s="10">
        <f>J6/L6</f>
        <v>24</v>
      </c>
      <c r="M7" s="7" t="s">
        <v>14</v>
      </c>
    </row>
    <row r="8" spans="1:13" x14ac:dyDescent="0.25">
      <c r="A8" s="1" t="s">
        <v>19</v>
      </c>
      <c r="D8" s="9">
        <f>D5</f>
        <v>24</v>
      </c>
      <c r="E8" s="9">
        <f t="shared" ref="E8:H8" si="3">E5</f>
        <v>24</v>
      </c>
      <c r="F8" s="9">
        <f t="shared" si="3"/>
        <v>24</v>
      </c>
      <c r="G8" s="9">
        <f t="shared" si="3"/>
        <v>24</v>
      </c>
      <c r="H8" s="9">
        <f t="shared" si="3"/>
        <v>24</v>
      </c>
    </row>
    <row r="9" spans="1:13" x14ac:dyDescent="0.25">
      <c r="A9" s="1" t="s">
        <v>20</v>
      </c>
      <c r="C9">
        <v>120</v>
      </c>
      <c r="H9">
        <v>10</v>
      </c>
    </row>
    <row r="10" spans="1:13" x14ac:dyDescent="0.25">
      <c r="A10" s="1" t="s">
        <v>32</v>
      </c>
      <c r="B10" s="13">
        <v>0.3</v>
      </c>
      <c r="H10">
        <f>H9*B10</f>
        <v>3</v>
      </c>
      <c r="I10" s="27" t="s">
        <v>31</v>
      </c>
    </row>
    <row r="11" spans="1:13" x14ac:dyDescent="0.25">
      <c r="A11" s="1" t="s">
        <v>33</v>
      </c>
      <c r="B11" s="13">
        <v>0.1</v>
      </c>
      <c r="C11" s="30">
        <f>B11*D2</f>
        <v>10</v>
      </c>
      <c r="D11" s="30">
        <f>$B$11*(E2-D2)</f>
        <v>2</v>
      </c>
      <c r="E11" s="30">
        <f t="shared" ref="E11:G11" si="4">$B$11*(F2-E2)</f>
        <v>2</v>
      </c>
      <c r="F11" s="30">
        <f t="shared" si="4"/>
        <v>4</v>
      </c>
      <c r="G11" s="30">
        <f t="shared" si="4"/>
        <v>2</v>
      </c>
      <c r="H11" s="29">
        <f>ABS($B$11*(I2-H2))</f>
        <v>20</v>
      </c>
      <c r="I11" s="27"/>
    </row>
    <row r="12" spans="1:13" x14ac:dyDescent="0.25">
      <c r="A12" s="16" t="s">
        <v>22</v>
      </c>
      <c r="B12" s="17"/>
      <c r="C12" s="28">
        <f>-C9+C8+C6-C7-C10-C11</f>
        <v>-130</v>
      </c>
      <c r="D12" s="28">
        <f>D9+D8+D6-D7-D10-D11</f>
        <v>22</v>
      </c>
      <c r="E12" s="28">
        <f>E9+E8+E6-E7-E10-E11</f>
        <v>27.6</v>
      </c>
      <c r="F12" s="28">
        <f>F9+F8+F6-F7-F10-F11</f>
        <v>31.200000000000003</v>
      </c>
      <c r="G12" s="28">
        <f>G9+G8+G6-G7-G10-G11</f>
        <v>44.4</v>
      </c>
      <c r="H12" s="28">
        <f>H9+H8+H6-H7-H10+H11</f>
        <v>79</v>
      </c>
    </row>
    <row r="13" spans="1:13" x14ac:dyDescent="0.25">
      <c r="A13" s="4" t="s">
        <v>23</v>
      </c>
      <c r="C13">
        <f>C12</f>
        <v>-130</v>
      </c>
      <c r="D13">
        <f>C13+D12</f>
        <v>-108</v>
      </c>
      <c r="E13">
        <f t="shared" ref="E13:H13" si="5">D13+E12</f>
        <v>-80.400000000000006</v>
      </c>
      <c r="F13">
        <f t="shared" si="5"/>
        <v>-49.2</v>
      </c>
      <c r="G13">
        <f t="shared" si="5"/>
        <v>-4.8000000000000043</v>
      </c>
      <c r="H13">
        <f t="shared" si="5"/>
        <v>74.199999999999989</v>
      </c>
    </row>
    <row r="15" spans="1:13" ht="15.75" thickBot="1" x14ac:dyDescent="0.3"/>
    <row r="16" spans="1:13" x14ac:dyDescent="0.25">
      <c r="B16" s="19" t="s">
        <v>24</v>
      </c>
      <c r="C16" s="20"/>
      <c r="D16" s="24" t="s">
        <v>25</v>
      </c>
      <c r="E16" s="20"/>
      <c r="F16" s="24" t="s">
        <v>28</v>
      </c>
      <c r="G16" s="20"/>
    </row>
    <row r="17" spans="1:7" x14ac:dyDescent="0.25">
      <c r="B17" s="21">
        <v>4</v>
      </c>
      <c r="C17" s="22" t="s">
        <v>13</v>
      </c>
      <c r="D17" s="21" t="s">
        <v>26</v>
      </c>
      <c r="E17" s="25">
        <v>0.08</v>
      </c>
      <c r="F17" s="69">
        <f>MIRR(C12:H12,E17,E17)</f>
        <v>0.11895979880509611</v>
      </c>
      <c r="G17" s="70" t="s">
        <v>29</v>
      </c>
    </row>
    <row r="18" spans="1:7" ht="15.75" thickBot="1" x14ac:dyDescent="0.3">
      <c r="B18" s="73">
        <f>ABS(G13/H12)+B17</f>
        <v>4.0607594936708864</v>
      </c>
      <c r="C18" s="74" t="s">
        <v>13</v>
      </c>
      <c r="D18" s="71" t="s">
        <v>27</v>
      </c>
      <c r="E18" s="72">
        <f>NPV(E17,D12:H12)+C12</f>
        <v>25.201885760357897</v>
      </c>
      <c r="F18" s="26"/>
      <c r="G18" s="23"/>
    </row>
    <row r="21" spans="1:7" x14ac:dyDescent="0.25">
      <c r="A21" s="4" t="s">
        <v>30</v>
      </c>
    </row>
    <row r="22" spans="1:7" x14ac:dyDescent="0.25">
      <c r="A22" s="27" t="s">
        <v>31</v>
      </c>
    </row>
    <row r="23" spans="1:7" x14ac:dyDescent="0.25">
      <c r="A23" s="1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95A0-FC37-48CA-A9C5-A2455C427871}">
  <dimension ref="A1:H21"/>
  <sheetViews>
    <sheetView workbookViewId="0">
      <selection activeCell="G15" sqref="G15"/>
    </sheetView>
  </sheetViews>
  <sheetFormatPr baseColWidth="10" defaultRowHeight="15" x14ac:dyDescent="0.25"/>
  <cols>
    <col min="1" max="1" width="32.7109375" style="1" bestFit="1" customWidth="1"/>
    <col min="2" max="2" width="18" style="1" customWidth="1"/>
  </cols>
  <sheetData>
    <row r="1" spans="1:8" x14ac:dyDescent="0.25">
      <c r="B1" s="5" t="s">
        <v>5</v>
      </c>
      <c r="C1" s="32">
        <v>2016</v>
      </c>
      <c r="D1" s="31">
        <v>2017</v>
      </c>
      <c r="E1" s="31">
        <v>2018</v>
      </c>
      <c r="F1" s="31">
        <v>2019</v>
      </c>
      <c r="G1" s="31">
        <v>2020</v>
      </c>
      <c r="H1" s="31">
        <v>2021</v>
      </c>
    </row>
    <row r="2" spans="1:8" x14ac:dyDescent="0.25">
      <c r="A2" s="1" t="s">
        <v>0</v>
      </c>
      <c r="C2" s="38"/>
      <c r="D2" s="38">
        <v>45</v>
      </c>
      <c r="E2" s="38">
        <v>50</v>
      </c>
      <c r="F2" s="38">
        <v>52</v>
      </c>
      <c r="G2" s="38">
        <v>54</v>
      </c>
      <c r="H2" s="38">
        <v>56</v>
      </c>
    </row>
    <row r="3" spans="1:8" x14ac:dyDescent="0.25">
      <c r="A3" s="1" t="s">
        <v>1</v>
      </c>
      <c r="C3" s="38"/>
      <c r="D3" s="38">
        <v>28</v>
      </c>
      <c r="E3" s="38">
        <v>31</v>
      </c>
      <c r="F3" s="38">
        <v>31</v>
      </c>
      <c r="G3" s="38">
        <v>31</v>
      </c>
      <c r="H3" s="38">
        <v>34</v>
      </c>
    </row>
    <row r="4" spans="1:8" x14ac:dyDescent="0.25">
      <c r="A4" s="1" t="s">
        <v>2</v>
      </c>
      <c r="C4" s="38"/>
      <c r="D4" s="38">
        <v>9</v>
      </c>
      <c r="E4" s="38">
        <v>9</v>
      </c>
      <c r="F4" s="38">
        <v>9</v>
      </c>
      <c r="G4" s="38">
        <v>9</v>
      </c>
      <c r="H4" s="38">
        <v>9</v>
      </c>
    </row>
    <row r="5" spans="1:8" x14ac:dyDescent="0.25">
      <c r="A5" s="1" t="s">
        <v>35</v>
      </c>
      <c r="C5" s="38"/>
      <c r="D5" s="38">
        <v>2</v>
      </c>
      <c r="E5" s="38">
        <v>1</v>
      </c>
      <c r="F5" s="38">
        <v>2</v>
      </c>
      <c r="G5" s="38">
        <v>3</v>
      </c>
      <c r="H5" s="38">
        <v>2</v>
      </c>
    </row>
    <row r="6" spans="1:8" x14ac:dyDescent="0.25">
      <c r="A6" s="33" t="s">
        <v>36</v>
      </c>
      <c r="B6" s="33"/>
      <c r="C6" s="39"/>
      <c r="D6" s="39">
        <f>D2-D3-D4-D5</f>
        <v>6</v>
      </c>
      <c r="E6" s="39">
        <f t="shared" ref="E6:H6" si="0">E2-E3-E4-E5</f>
        <v>9</v>
      </c>
      <c r="F6" s="39">
        <f t="shared" si="0"/>
        <v>10</v>
      </c>
      <c r="G6" s="39">
        <f t="shared" si="0"/>
        <v>11</v>
      </c>
      <c r="H6" s="39">
        <f t="shared" si="0"/>
        <v>11</v>
      </c>
    </row>
    <row r="7" spans="1:8" x14ac:dyDescent="0.25">
      <c r="A7" s="27" t="s">
        <v>4</v>
      </c>
      <c r="B7" s="34">
        <v>0.3</v>
      </c>
      <c r="C7" s="38"/>
      <c r="D7" s="38">
        <f>$B$7*D6</f>
        <v>1.7999999999999998</v>
      </c>
      <c r="E7" s="38">
        <f>$B$7*E6</f>
        <v>2.6999999999999997</v>
      </c>
      <c r="F7" s="38">
        <f>$B$7*F6</f>
        <v>3</v>
      </c>
      <c r="G7" s="38">
        <f>$B$7*G6</f>
        <v>3.3</v>
      </c>
      <c r="H7" s="38">
        <f>$B$7*H6</f>
        <v>3.3</v>
      </c>
    </row>
    <row r="8" spans="1:8" x14ac:dyDescent="0.25">
      <c r="A8" s="27" t="s">
        <v>18</v>
      </c>
      <c r="B8" s="34"/>
      <c r="C8" s="38"/>
      <c r="D8" s="38">
        <v>9</v>
      </c>
      <c r="E8" s="38">
        <v>9</v>
      </c>
      <c r="F8" s="38">
        <v>9</v>
      </c>
      <c r="G8" s="38">
        <v>9</v>
      </c>
      <c r="H8" s="38">
        <v>9</v>
      </c>
    </row>
    <row r="9" spans="1:8" x14ac:dyDescent="0.25">
      <c r="A9" s="36" t="s">
        <v>37</v>
      </c>
      <c r="B9" s="35"/>
      <c r="C9" s="40">
        <v>10</v>
      </c>
      <c r="D9" s="40">
        <f>12-10</f>
        <v>2</v>
      </c>
      <c r="E9" s="45">
        <f>12-12</f>
        <v>0</v>
      </c>
      <c r="F9" s="40">
        <v>2</v>
      </c>
      <c r="G9" s="40">
        <v>0</v>
      </c>
      <c r="H9" s="41">
        <f>ABS(-C9-D9-F9)</f>
        <v>14</v>
      </c>
    </row>
    <row r="10" spans="1:8" x14ac:dyDescent="0.25">
      <c r="A10" s="27" t="s">
        <v>38</v>
      </c>
      <c r="C10" s="42">
        <v>20</v>
      </c>
      <c r="D10" s="41">
        <v>2</v>
      </c>
      <c r="E10" s="40">
        <v>1</v>
      </c>
      <c r="F10" s="40">
        <v>2</v>
      </c>
      <c r="G10" s="45">
        <v>0</v>
      </c>
      <c r="H10" s="41">
        <f>ABS(-C10+D10-E10-F10)</f>
        <v>21</v>
      </c>
    </row>
    <row r="11" spans="1:8" x14ac:dyDescent="0.25">
      <c r="A11" s="27" t="s">
        <v>39</v>
      </c>
      <c r="C11" s="46">
        <v>12</v>
      </c>
      <c r="D11" s="40">
        <v>3</v>
      </c>
      <c r="E11" s="41">
        <v>2</v>
      </c>
      <c r="F11" s="41">
        <v>1</v>
      </c>
      <c r="G11" s="41">
        <v>1</v>
      </c>
      <c r="H11" s="40">
        <f>ABS(-C11+D11-E11-F11-G11)</f>
        <v>13</v>
      </c>
    </row>
    <row r="12" spans="1:8" x14ac:dyDescent="0.25">
      <c r="A12" s="1" t="s">
        <v>40</v>
      </c>
      <c r="C12" s="43">
        <v>45</v>
      </c>
      <c r="D12" s="38"/>
      <c r="E12" s="38"/>
      <c r="F12" s="38"/>
      <c r="G12" s="38"/>
      <c r="H12" s="38">
        <v>5</v>
      </c>
    </row>
    <row r="13" spans="1:8" x14ac:dyDescent="0.25">
      <c r="A13" s="1" t="s">
        <v>41</v>
      </c>
      <c r="B13" s="37">
        <v>0.3</v>
      </c>
      <c r="C13" s="38"/>
      <c r="D13" s="38"/>
      <c r="E13" s="38"/>
      <c r="F13" s="38"/>
      <c r="G13" s="38"/>
      <c r="H13" s="38">
        <f>H12*B13</f>
        <v>1.5</v>
      </c>
    </row>
    <row r="14" spans="1:8" x14ac:dyDescent="0.25">
      <c r="A14" s="16" t="s">
        <v>21</v>
      </c>
      <c r="B14" s="33"/>
      <c r="C14" s="39">
        <f>C11-C12-C10-C9+C8</f>
        <v>-63</v>
      </c>
      <c r="D14" s="39">
        <f>D6-D7-D9-D11+D10+D8</f>
        <v>10.199999999999999</v>
      </c>
      <c r="E14" s="39">
        <f>E6-E7-E10+E11+E8</f>
        <v>16.3</v>
      </c>
      <c r="F14" s="39">
        <f>F6-F7-F9-F10+F11+F8</f>
        <v>13</v>
      </c>
      <c r="G14" s="39">
        <f>G6-G7-G9-G10+G11+G8</f>
        <v>17.7</v>
      </c>
      <c r="H14" s="39">
        <f>H6-H7-H13+H12+H9+H10-H11+H8</f>
        <v>42.2</v>
      </c>
    </row>
    <row r="15" spans="1:8" x14ac:dyDescent="0.25">
      <c r="A15" s="1" t="s">
        <v>42</v>
      </c>
      <c r="C15" s="38">
        <f>C14</f>
        <v>-63</v>
      </c>
      <c r="D15" s="38">
        <f>C15+D14</f>
        <v>-52.8</v>
      </c>
      <c r="E15" s="38">
        <f t="shared" ref="E15:H15" si="1">D15+E14</f>
        <v>-36.5</v>
      </c>
      <c r="F15" s="38">
        <f t="shared" si="1"/>
        <v>-23.5</v>
      </c>
      <c r="G15" s="38">
        <f t="shared" si="1"/>
        <v>-5.8000000000000007</v>
      </c>
      <c r="H15" s="38">
        <f t="shared" si="1"/>
        <v>36.400000000000006</v>
      </c>
    </row>
    <row r="17" spans="1:8" x14ac:dyDescent="0.25">
      <c r="A17" s="4"/>
      <c r="B17" s="4" t="s">
        <v>24</v>
      </c>
      <c r="D17" s="7" t="s">
        <v>43</v>
      </c>
      <c r="F17" s="7" t="s">
        <v>29</v>
      </c>
    </row>
    <row r="18" spans="1:8" x14ac:dyDescent="0.25">
      <c r="B18" s="18">
        <f>ABS(G15/H14)+4</f>
        <v>4.1374407582938391</v>
      </c>
      <c r="C18" s="38" t="s">
        <v>13</v>
      </c>
      <c r="D18" s="44">
        <f>NPV(D19,D14:H14)+C14</f>
        <v>3.548629581889216</v>
      </c>
      <c r="E18" s="38"/>
      <c r="F18" s="13">
        <f>MIRR(C14:H14,D19,D19)</f>
        <v>0.13234231275249786</v>
      </c>
      <c r="G18" s="38"/>
      <c r="H18" s="38"/>
    </row>
    <row r="19" spans="1:8" x14ac:dyDescent="0.25">
      <c r="B19" s="38"/>
      <c r="C19" s="38"/>
      <c r="D19" s="13">
        <v>0.12</v>
      </c>
      <c r="E19" s="38"/>
      <c r="F19" s="38"/>
      <c r="G19" s="38"/>
      <c r="H19" s="38"/>
    </row>
    <row r="20" spans="1:8" x14ac:dyDescent="0.25">
      <c r="B20" s="38"/>
      <c r="C20" s="38"/>
      <c r="D20" s="38"/>
      <c r="E20" s="38"/>
      <c r="F20" s="38"/>
      <c r="G20" s="38"/>
      <c r="H20" s="38"/>
    </row>
    <row r="21" spans="1:8" x14ac:dyDescent="0.25">
      <c r="B21" s="38"/>
      <c r="C21" s="38"/>
      <c r="D21" s="38"/>
      <c r="E21" s="38"/>
      <c r="F21" s="38"/>
      <c r="G21" s="38"/>
      <c r="H21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6C74A-48AE-4721-BF49-132F9F2D7591}">
  <dimension ref="A1:O20"/>
  <sheetViews>
    <sheetView workbookViewId="0">
      <selection activeCell="J15" sqref="J15"/>
    </sheetView>
  </sheetViews>
  <sheetFormatPr baseColWidth="10" defaultRowHeight="15" x14ac:dyDescent="0.25"/>
  <cols>
    <col min="1" max="1" width="25.42578125" style="1" bestFit="1" customWidth="1"/>
  </cols>
  <sheetData>
    <row r="1" spans="1:15" x14ac:dyDescent="0.25">
      <c r="B1" s="5" t="s">
        <v>5</v>
      </c>
      <c r="C1" s="32">
        <v>2017</v>
      </c>
      <c r="D1" s="31">
        <v>2018</v>
      </c>
      <c r="E1" s="31">
        <v>2019</v>
      </c>
      <c r="F1" s="31">
        <v>2020</v>
      </c>
      <c r="G1" s="31">
        <v>2021</v>
      </c>
      <c r="H1" s="31">
        <v>2022</v>
      </c>
      <c r="J1" s="7" t="s">
        <v>46</v>
      </c>
    </row>
    <row r="2" spans="1:15" x14ac:dyDescent="0.25">
      <c r="A2" s="1" t="s">
        <v>0</v>
      </c>
      <c r="D2">
        <v>45</v>
      </c>
      <c r="E2">
        <v>50</v>
      </c>
      <c r="F2">
        <v>52</v>
      </c>
      <c r="G2">
        <v>54</v>
      </c>
      <c r="H2">
        <v>56</v>
      </c>
      <c r="J2" s="8">
        <v>60</v>
      </c>
      <c r="K2" t="s">
        <v>47</v>
      </c>
      <c r="M2" s="8">
        <v>5</v>
      </c>
      <c r="N2" t="s">
        <v>12</v>
      </c>
    </row>
    <row r="3" spans="1:15" x14ac:dyDescent="0.25">
      <c r="A3" s="1" t="s">
        <v>44</v>
      </c>
      <c r="D3">
        <v>28</v>
      </c>
      <c r="E3">
        <v>31</v>
      </c>
      <c r="F3">
        <v>31</v>
      </c>
      <c r="G3">
        <v>31</v>
      </c>
      <c r="H3">
        <v>34</v>
      </c>
      <c r="J3" s="8">
        <v>2</v>
      </c>
      <c r="K3" t="s">
        <v>48</v>
      </c>
    </row>
    <row r="4" spans="1:15" x14ac:dyDescent="0.25">
      <c r="A4" s="1" t="s">
        <v>45</v>
      </c>
      <c r="D4">
        <v>3</v>
      </c>
      <c r="E4">
        <v>3</v>
      </c>
      <c r="F4">
        <v>4</v>
      </c>
      <c r="G4">
        <v>4</v>
      </c>
      <c r="H4">
        <v>5</v>
      </c>
      <c r="J4" s="9">
        <f>J2-J3</f>
        <v>58</v>
      </c>
      <c r="K4" t="s">
        <v>49</v>
      </c>
    </row>
    <row r="5" spans="1:15" x14ac:dyDescent="0.25">
      <c r="A5" s="1" t="s">
        <v>2</v>
      </c>
      <c r="D5" s="9">
        <f>J5</f>
        <v>11.6</v>
      </c>
      <c r="E5" s="9">
        <f>D5</f>
        <v>11.6</v>
      </c>
      <c r="F5" s="9">
        <f t="shared" ref="F5:H5" si="0">E5</f>
        <v>11.6</v>
      </c>
      <c r="G5" s="9">
        <f t="shared" si="0"/>
        <v>11.6</v>
      </c>
      <c r="H5" s="9">
        <f t="shared" si="0"/>
        <v>11.6</v>
      </c>
      <c r="J5" s="9">
        <f>J4/5</f>
        <v>11.6</v>
      </c>
    </row>
    <row r="6" spans="1:15" x14ac:dyDescent="0.25">
      <c r="A6" s="16" t="s">
        <v>50</v>
      </c>
      <c r="B6" s="17"/>
      <c r="C6" s="17"/>
      <c r="D6" s="28">
        <f>D2-D3-D4-D5</f>
        <v>2.4000000000000004</v>
      </c>
      <c r="E6" s="28">
        <f t="shared" ref="E6:H6" si="1">E2-E3-E4-E5</f>
        <v>4.4000000000000004</v>
      </c>
      <c r="F6" s="28">
        <f t="shared" si="1"/>
        <v>5.4</v>
      </c>
      <c r="G6" s="28">
        <f t="shared" si="1"/>
        <v>7.4</v>
      </c>
      <c r="H6" s="28">
        <f t="shared" si="1"/>
        <v>5.4</v>
      </c>
    </row>
    <row r="7" spans="1:15" x14ac:dyDescent="0.25">
      <c r="A7" s="1" t="s">
        <v>4</v>
      </c>
      <c r="B7" s="13">
        <v>0.3</v>
      </c>
      <c r="D7" s="9">
        <f>$B$7*D6</f>
        <v>0.72000000000000008</v>
      </c>
      <c r="E7" s="9">
        <f t="shared" ref="E7:H7" si="2">$B$7*E6</f>
        <v>1.32</v>
      </c>
      <c r="F7" s="9">
        <f t="shared" si="2"/>
        <v>1.62</v>
      </c>
      <c r="G7" s="9">
        <f t="shared" si="2"/>
        <v>2.2200000000000002</v>
      </c>
      <c r="H7" s="9">
        <f t="shared" si="2"/>
        <v>1.62</v>
      </c>
    </row>
    <row r="8" spans="1:15" x14ac:dyDescent="0.25">
      <c r="A8" s="1" t="s">
        <v>19</v>
      </c>
      <c r="D8" s="9">
        <f>D5</f>
        <v>11.6</v>
      </c>
      <c r="E8" s="9">
        <f t="shared" ref="E8:H8" si="3">E5</f>
        <v>11.6</v>
      </c>
      <c r="F8" s="9">
        <f t="shared" si="3"/>
        <v>11.6</v>
      </c>
      <c r="G8" s="9">
        <f t="shared" si="3"/>
        <v>11.6</v>
      </c>
      <c r="H8" s="9">
        <f t="shared" si="3"/>
        <v>11.6</v>
      </c>
    </row>
    <row r="9" spans="1:15" x14ac:dyDescent="0.25">
      <c r="A9" s="1" t="s">
        <v>58</v>
      </c>
      <c r="C9" s="49">
        <f>J10</f>
        <v>11.25</v>
      </c>
      <c r="D9" s="49">
        <f>K10-J10</f>
        <v>1.25</v>
      </c>
      <c r="E9" s="49">
        <f>L10-K10</f>
        <v>0.5</v>
      </c>
      <c r="F9" s="49">
        <f t="shared" ref="F9:G11" si="4">M10-L10</f>
        <v>0.5</v>
      </c>
      <c r="G9" s="49">
        <f t="shared" si="4"/>
        <v>0.5</v>
      </c>
      <c r="H9" s="50">
        <f>SUM(C9:G9)</f>
        <v>14</v>
      </c>
      <c r="J9" s="7" t="s">
        <v>51</v>
      </c>
    </row>
    <row r="10" spans="1:15" x14ac:dyDescent="0.25">
      <c r="A10" s="1" t="s">
        <v>52</v>
      </c>
      <c r="C10" s="50">
        <f>J11</f>
        <v>4.6666666666666661</v>
      </c>
      <c r="D10" s="50">
        <f>K11-J11</f>
        <v>0.5</v>
      </c>
      <c r="E10" s="50">
        <f t="shared" ref="E10:E11" si="5">L11-K11</f>
        <v>0</v>
      </c>
      <c r="F10" s="50">
        <f t="shared" si="4"/>
        <v>0</v>
      </c>
      <c r="G10" s="50">
        <f t="shared" si="4"/>
        <v>0.5</v>
      </c>
      <c r="H10" s="49">
        <f>SUM(C10:G10)</f>
        <v>5.6666666666666661</v>
      </c>
      <c r="J10" s="8">
        <f>D2*(90/360)</f>
        <v>11.25</v>
      </c>
      <c r="K10" s="8">
        <f t="shared" ref="K10:N10" si="6">E2*(90/360)</f>
        <v>12.5</v>
      </c>
      <c r="L10" s="8">
        <f t="shared" si="6"/>
        <v>13</v>
      </c>
      <c r="M10" s="8">
        <f t="shared" si="6"/>
        <v>13.5</v>
      </c>
      <c r="N10" s="8">
        <f t="shared" si="6"/>
        <v>14</v>
      </c>
      <c r="O10" t="s">
        <v>57</v>
      </c>
    </row>
    <row r="11" spans="1:15" x14ac:dyDescent="0.25">
      <c r="A11" s="1" t="s">
        <v>54</v>
      </c>
      <c r="C11" s="49">
        <f>J12-I12</f>
        <v>4.5</v>
      </c>
      <c r="D11" s="49">
        <f t="shared" ref="D11" si="7">K12-J12</f>
        <v>0.5</v>
      </c>
      <c r="E11" s="49">
        <f t="shared" si="5"/>
        <v>0.20000000000000018</v>
      </c>
      <c r="F11" s="49">
        <f t="shared" si="4"/>
        <v>0.20000000000000018</v>
      </c>
      <c r="G11" s="49">
        <f t="shared" si="4"/>
        <v>0.20000000000000018</v>
      </c>
      <c r="H11" s="50">
        <f>SUM(C11:G11)</f>
        <v>5.6000000000000005</v>
      </c>
      <c r="J11" s="8">
        <f>D3*(60/360)</f>
        <v>4.6666666666666661</v>
      </c>
      <c r="K11" s="8">
        <f t="shared" ref="K11:N11" si="8">E3*(60/360)</f>
        <v>5.1666666666666661</v>
      </c>
      <c r="L11" s="8">
        <f t="shared" si="8"/>
        <v>5.1666666666666661</v>
      </c>
      <c r="M11" s="8">
        <f t="shared" si="8"/>
        <v>5.1666666666666661</v>
      </c>
      <c r="N11" s="8">
        <f t="shared" si="8"/>
        <v>5.6666666666666661</v>
      </c>
      <c r="O11" t="s">
        <v>53</v>
      </c>
    </row>
    <row r="12" spans="1:15" x14ac:dyDescent="0.25">
      <c r="A12" s="1" t="s">
        <v>40</v>
      </c>
      <c r="C12" s="30">
        <f>J2</f>
        <v>60</v>
      </c>
      <c r="H12" s="48">
        <v>5</v>
      </c>
      <c r="J12" s="8">
        <f>D2*10%</f>
        <v>4.5</v>
      </c>
      <c r="K12" s="8">
        <f t="shared" ref="K12:N12" si="9">E2*10%</f>
        <v>5</v>
      </c>
      <c r="L12" s="8">
        <f t="shared" si="9"/>
        <v>5.2</v>
      </c>
      <c r="M12" s="8">
        <f t="shared" si="9"/>
        <v>5.4</v>
      </c>
      <c r="N12" s="8">
        <f t="shared" si="9"/>
        <v>5.6000000000000005</v>
      </c>
      <c r="O12" t="s">
        <v>56</v>
      </c>
    </row>
    <row r="13" spans="1:15" x14ac:dyDescent="0.25">
      <c r="A13" s="1" t="s">
        <v>41</v>
      </c>
      <c r="B13" s="13">
        <v>0.3</v>
      </c>
      <c r="H13" s="47">
        <f>B13*3</f>
        <v>0.89999999999999991</v>
      </c>
    </row>
    <row r="14" spans="1:15" x14ac:dyDescent="0.25">
      <c r="A14" s="16" t="s">
        <v>21</v>
      </c>
      <c r="B14" s="17"/>
      <c r="C14" s="28">
        <f>-C9+C10-C11-C12</f>
        <v>-71.083333333333329</v>
      </c>
      <c r="D14" s="28">
        <f>D6-D7+D8-D9+D10-D11</f>
        <v>12.03</v>
      </c>
      <c r="E14" s="28">
        <f t="shared" ref="E14:G14" si="10">E6-E7+E8-E9+E10-E11</f>
        <v>13.98</v>
      </c>
      <c r="F14" s="28">
        <f t="shared" si="10"/>
        <v>14.68</v>
      </c>
      <c r="G14" s="28">
        <f t="shared" si="10"/>
        <v>16.580000000000002</v>
      </c>
      <c r="H14" s="28">
        <f>H6-H7+H8+H9-H10+H11+H12-H13</f>
        <v>33.413333333333334</v>
      </c>
    </row>
    <row r="15" spans="1:15" x14ac:dyDescent="0.25">
      <c r="A15" s="1" t="s">
        <v>42</v>
      </c>
      <c r="C15" s="9">
        <f>C14</f>
        <v>-71.083333333333329</v>
      </c>
      <c r="D15" s="9">
        <f>C15+D14</f>
        <v>-59.053333333333327</v>
      </c>
      <c r="E15" s="9">
        <f t="shared" ref="E15:H15" si="11">D15+E14</f>
        <v>-45.073333333333323</v>
      </c>
      <c r="F15" s="9">
        <f t="shared" si="11"/>
        <v>-30.393333333333324</v>
      </c>
      <c r="G15" s="9">
        <f t="shared" si="11"/>
        <v>-13.813333333333322</v>
      </c>
      <c r="H15" s="9">
        <f t="shared" si="11"/>
        <v>19.600000000000012</v>
      </c>
    </row>
    <row r="17" spans="1:6" x14ac:dyDescent="0.25">
      <c r="B17" s="7" t="s">
        <v>24</v>
      </c>
      <c r="D17" s="7" t="s">
        <v>55</v>
      </c>
      <c r="F17" s="7" t="s">
        <v>29</v>
      </c>
    </row>
    <row r="18" spans="1:6" x14ac:dyDescent="0.25">
      <c r="B18" s="18">
        <f>4+ABS(G15/H14)</f>
        <v>4.4134078212290504</v>
      </c>
      <c r="C18" t="s">
        <v>13</v>
      </c>
      <c r="D18" s="44">
        <f>NPV(0.08,D14:H14)+C14</f>
        <v>-1.3780422555297633</v>
      </c>
      <c r="F18" s="34">
        <f>MIRR(C14:H14,0.08,0.06)</f>
        <v>6.9188539270674143E-2</v>
      </c>
    </row>
    <row r="20" spans="1:6" x14ac:dyDescent="0.25">
      <c r="A20" s="1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E2C7-A4AD-447D-A528-F622FE9C61C0}">
  <dimension ref="A2:G12"/>
  <sheetViews>
    <sheetView workbookViewId="0">
      <selection activeCell="B12" sqref="B12"/>
    </sheetView>
  </sheetViews>
  <sheetFormatPr baseColWidth="10" defaultRowHeight="15" x14ac:dyDescent="0.25"/>
  <cols>
    <col min="1" max="1" width="15.140625" bestFit="1" customWidth="1"/>
    <col min="2" max="2" width="13" bestFit="1" customWidth="1"/>
    <col min="3" max="7" width="12" bestFit="1" customWidth="1"/>
  </cols>
  <sheetData>
    <row r="2" spans="1:7" x14ac:dyDescent="0.25">
      <c r="A2" s="7" t="s">
        <v>21</v>
      </c>
      <c r="B2" s="8">
        <v>60000</v>
      </c>
    </row>
    <row r="3" spans="1:7" x14ac:dyDescent="0.25">
      <c r="A3" s="7" t="s">
        <v>60</v>
      </c>
      <c r="B3" s="8">
        <v>694000</v>
      </c>
    </row>
    <row r="4" spans="1:7" x14ac:dyDescent="0.25">
      <c r="A4" s="7" t="s">
        <v>61</v>
      </c>
      <c r="B4" s="34">
        <v>4.4999999999999998E-2</v>
      </c>
    </row>
    <row r="5" spans="1:7" x14ac:dyDescent="0.25">
      <c r="A5" s="7" t="s">
        <v>63</v>
      </c>
      <c r="B5" s="34">
        <v>0.125</v>
      </c>
    </row>
    <row r="7" spans="1:7" x14ac:dyDescent="0.25">
      <c r="B7" t="s">
        <v>6</v>
      </c>
      <c r="C7" t="s">
        <v>7</v>
      </c>
      <c r="D7" t="s">
        <v>8</v>
      </c>
      <c r="E7" t="s">
        <v>9</v>
      </c>
      <c r="F7" t="s">
        <v>10</v>
      </c>
      <c r="G7" t="s">
        <v>62</v>
      </c>
    </row>
    <row r="8" spans="1:7" x14ac:dyDescent="0.25">
      <c r="A8" s="7" t="s">
        <v>21</v>
      </c>
      <c r="B8" s="9">
        <f>B2</f>
        <v>60000</v>
      </c>
      <c r="C8" s="9">
        <f>B8*$B$4+B8</f>
        <v>62700</v>
      </c>
      <c r="D8" s="9">
        <f t="shared" ref="D8:G8" si="0">C8*$B$4+C8</f>
        <v>65521.5</v>
      </c>
      <c r="E8" s="9">
        <f t="shared" si="0"/>
        <v>68469.967499999999</v>
      </c>
      <c r="F8" s="9">
        <f t="shared" si="0"/>
        <v>71551.116037500004</v>
      </c>
      <c r="G8" s="9">
        <f t="shared" si="0"/>
        <v>74770.916259187507</v>
      </c>
    </row>
    <row r="10" spans="1:7" x14ac:dyDescent="0.25">
      <c r="A10" s="14" t="s">
        <v>64</v>
      </c>
      <c r="B10" s="15">
        <f>B8/(B5-B4)</f>
        <v>750000</v>
      </c>
      <c r="C10" t="s">
        <v>69</v>
      </c>
    </row>
    <row r="11" spans="1:7" x14ac:dyDescent="0.25">
      <c r="A11" s="51" t="s">
        <v>65</v>
      </c>
      <c r="B11" s="52">
        <f>B10-B3</f>
        <v>56000</v>
      </c>
      <c r="C11" t="s">
        <v>66</v>
      </c>
    </row>
    <row r="12" spans="1:7" x14ac:dyDescent="0.25">
      <c r="A12" s="51" t="s">
        <v>67</v>
      </c>
      <c r="B12" s="53">
        <v>3.85E-2</v>
      </c>
      <c r="C12" t="s">
        <v>68</v>
      </c>
    </row>
  </sheetData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0D03F-A617-4AE9-ADD8-47CF4CD93F8F}">
  <dimension ref="A1:I10"/>
  <sheetViews>
    <sheetView workbookViewId="0">
      <selection activeCell="E11" sqref="E11"/>
    </sheetView>
  </sheetViews>
  <sheetFormatPr baseColWidth="10" defaultRowHeight="15" x14ac:dyDescent="0.25"/>
  <cols>
    <col min="1" max="1" width="12" bestFit="1" customWidth="1"/>
    <col min="2" max="8" width="13" bestFit="1" customWidth="1"/>
    <col min="9" max="9" width="15" bestFit="1" customWidth="1"/>
  </cols>
  <sheetData>
    <row r="1" spans="1:9" x14ac:dyDescent="0.25">
      <c r="A1" s="7"/>
      <c r="B1" s="54" t="s">
        <v>16</v>
      </c>
      <c r="C1" s="6" t="s">
        <v>6</v>
      </c>
      <c r="D1" s="6" t="s">
        <v>7</v>
      </c>
      <c r="E1" s="6" t="s">
        <v>8</v>
      </c>
      <c r="F1" s="6" t="s">
        <v>9</v>
      </c>
      <c r="H1" s="55" t="s">
        <v>26</v>
      </c>
      <c r="I1" s="55" t="s">
        <v>70</v>
      </c>
    </row>
    <row r="2" spans="1:9" x14ac:dyDescent="0.25">
      <c r="A2" s="7" t="s">
        <v>21</v>
      </c>
      <c r="B2" s="8">
        <v>-690000</v>
      </c>
      <c r="C2" s="8">
        <v>243000</v>
      </c>
      <c r="D2" s="8">
        <v>175000</v>
      </c>
      <c r="E2" s="8">
        <v>256000</v>
      </c>
      <c r="F2" s="8">
        <v>231000</v>
      </c>
      <c r="H2" s="56">
        <v>7.0000000000000007E-2</v>
      </c>
      <c r="I2" s="13">
        <v>0.03</v>
      </c>
    </row>
    <row r="3" spans="1:9" x14ac:dyDescent="0.25">
      <c r="A3" s="7" t="s">
        <v>73</v>
      </c>
      <c r="B3" s="9">
        <f>B2</f>
        <v>-690000</v>
      </c>
      <c r="C3">
        <v>0</v>
      </c>
      <c r="D3">
        <v>0</v>
      </c>
      <c r="E3">
        <v>0</v>
      </c>
      <c r="F3" s="28">
        <f>H7+F2</f>
        <v>945870.16100000008</v>
      </c>
    </row>
    <row r="4" spans="1:9" x14ac:dyDescent="0.25">
      <c r="A4" s="7"/>
    </row>
    <row r="5" spans="1:9" x14ac:dyDescent="0.25">
      <c r="A5" s="7" t="s">
        <v>25</v>
      </c>
      <c r="B5" s="7"/>
      <c r="C5" s="7" t="s">
        <v>29</v>
      </c>
      <c r="E5" s="55" t="s">
        <v>71</v>
      </c>
      <c r="F5" s="57"/>
      <c r="G5" s="57"/>
      <c r="H5" s="57"/>
    </row>
    <row r="6" spans="1:9" x14ac:dyDescent="0.25">
      <c r="A6" s="44">
        <f>NPV(H2,C3:F3)+B3</f>
        <v>31599.817045521806</v>
      </c>
      <c r="C6" s="34">
        <f>MIRR(B2:F2,H2,I2)</f>
        <v>8.2045712710616003E-2</v>
      </c>
      <c r="E6" s="6" t="s">
        <v>6</v>
      </c>
      <c r="F6" s="6" t="s">
        <v>7</v>
      </c>
      <c r="G6" s="6" t="s">
        <v>8</v>
      </c>
      <c r="H6" s="6" t="s">
        <v>72</v>
      </c>
    </row>
    <row r="7" spans="1:9" x14ac:dyDescent="0.25">
      <c r="E7" s="15">
        <f>C2*(1+I2)^3</f>
        <v>265532.66100000002</v>
      </c>
      <c r="F7" s="15">
        <f>D2*((1+I2)^2)</f>
        <v>185657.5</v>
      </c>
      <c r="G7" s="15">
        <f>E2*((1+I2)^1)</f>
        <v>263680</v>
      </c>
      <c r="H7" s="15">
        <f>E7+F7+G7</f>
        <v>714870.16100000008</v>
      </c>
    </row>
    <row r="9" spans="1:9" x14ac:dyDescent="0.25">
      <c r="A9" t="s">
        <v>74</v>
      </c>
    </row>
    <row r="10" spans="1:9" x14ac:dyDescent="0.25">
      <c r="A10" t="s">
        <v>75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225EC-B8AA-4644-BA7D-418BD3EBAB70}">
  <dimension ref="A1:Q21"/>
  <sheetViews>
    <sheetView tabSelected="1" workbookViewId="0">
      <selection activeCell="B18" sqref="B18"/>
    </sheetView>
  </sheetViews>
  <sheetFormatPr baseColWidth="10" defaultRowHeight="15" x14ac:dyDescent="0.25"/>
  <cols>
    <col min="1" max="1" width="25.42578125" style="1" bestFit="1" customWidth="1"/>
    <col min="2" max="2" width="12.5703125" bestFit="1" customWidth="1"/>
    <col min="3" max="3" width="13" bestFit="1" customWidth="1"/>
    <col min="4" max="8" width="14.5703125" bestFit="1" customWidth="1"/>
    <col min="10" max="10" width="18.7109375" bestFit="1" customWidth="1"/>
    <col min="11" max="15" width="13" bestFit="1" customWidth="1"/>
    <col min="17" max="17" width="22" customWidth="1"/>
  </cols>
  <sheetData>
    <row r="1" spans="1:17" x14ac:dyDescent="0.25">
      <c r="B1" s="5" t="s">
        <v>5</v>
      </c>
      <c r="C1" s="54" t="s">
        <v>16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55"/>
      <c r="J1" s="6" t="s">
        <v>76</v>
      </c>
    </row>
    <row r="2" spans="1:17" x14ac:dyDescent="0.25">
      <c r="A2" s="1" t="s">
        <v>0</v>
      </c>
      <c r="B2" s="12">
        <v>2500</v>
      </c>
      <c r="D2" s="12">
        <f>$B$2*500</f>
        <v>1250000</v>
      </c>
      <c r="E2" s="12">
        <f t="shared" ref="E2:H2" si="0">$B$2*500</f>
        <v>1250000</v>
      </c>
      <c r="F2" s="12">
        <f t="shared" si="0"/>
        <v>1250000</v>
      </c>
      <c r="G2" s="12">
        <f t="shared" si="0"/>
        <v>1250000</v>
      </c>
      <c r="H2" s="12">
        <f t="shared" si="0"/>
        <v>1250000</v>
      </c>
      <c r="J2" s="8">
        <v>750000</v>
      </c>
    </row>
    <row r="3" spans="1:17" x14ac:dyDescent="0.25">
      <c r="A3" s="1" t="s">
        <v>44</v>
      </c>
      <c r="B3" s="12">
        <v>1500</v>
      </c>
      <c r="D3" s="12">
        <f>- $B$3*500</f>
        <v>-750000</v>
      </c>
      <c r="E3" s="12">
        <f t="shared" ref="E3:H3" si="1">- $B$3*500</f>
        <v>-750000</v>
      </c>
      <c r="F3" s="12">
        <f t="shared" si="1"/>
        <v>-750000</v>
      </c>
      <c r="G3" s="12">
        <f t="shared" si="1"/>
        <v>-750000</v>
      </c>
      <c r="H3" s="12">
        <f t="shared" si="1"/>
        <v>-750000</v>
      </c>
    </row>
    <row r="4" spans="1:17" x14ac:dyDescent="0.25">
      <c r="A4" s="1" t="s">
        <v>45</v>
      </c>
      <c r="D4" s="12">
        <v>-200000</v>
      </c>
      <c r="E4" s="12">
        <v>-200000</v>
      </c>
      <c r="F4" s="12">
        <v>-200000</v>
      </c>
      <c r="G4" s="12">
        <v>-200000</v>
      </c>
      <c r="H4" s="12">
        <v>-200000</v>
      </c>
    </row>
    <row r="5" spans="1:17" x14ac:dyDescent="0.25">
      <c r="A5" s="1" t="s">
        <v>2</v>
      </c>
      <c r="B5" s="13">
        <v>0.2</v>
      </c>
      <c r="D5" s="12">
        <f>-($B$5*$J$2)</f>
        <v>-150000</v>
      </c>
      <c r="E5" s="12">
        <f t="shared" ref="E5:H5" si="2">-($B$5*$J$2)</f>
        <v>-150000</v>
      </c>
      <c r="F5" s="12">
        <f t="shared" si="2"/>
        <v>-150000</v>
      </c>
      <c r="G5" s="12">
        <f t="shared" si="2"/>
        <v>-150000</v>
      </c>
      <c r="H5" s="12">
        <f t="shared" si="2"/>
        <v>-150000</v>
      </c>
    </row>
    <row r="6" spans="1:17" x14ac:dyDescent="0.25">
      <c r="A6" s="16" t="s">
        <v>50</v>
      </c>
      <c r="B6" s="14"/>
      <c r="C6" s="14"/>
      <c r="D6" s="58">
        <f>SUM(D2:D5)</f>
        <v>150000</v>
      </c>
      <c r="E6" s="58">
        <f t="shared" ref="E6:H6" si="3">SUM(E2:E5)</f>
        <v>150000</v>
      </c>
      <c r="F6" s="58">
        <f t="shared" si="3"/>
        <v>150000</v>
      </c>
      <c r="G6" s="58">
        <f t="shared" si="3"/>
        <v>150000</v>
      </c>
      <c r="H6" s="58">
        <f t="shared" si="3"/>
        <v>150000</v>
      </c>
    </row>
    <row r="7" spans="1:17" x14ac:dyDescent="0.25">
      <c r="A7" s="1" t="s">
        <v>4</v>
      </c>
      <c r="B7" s="13">
        <v>0.34</v>
      </c>
      <c r="D7" s="12">
        <f>- $B$7*D6</f>
        <v>-51000.000000000007</v>
      </c>
      <c r="E7" s="12">
        <f t="shared" ref="E7:H7" si="4">- $B$7*E6</f>
        <v>-51000.000000000007</v>
      </c>
      <c r="F7" s="12">
        <f t="shared" si="4"/>
        <v>-51000.000000000007</v>
      </c>
      <c r="G7" s="12">
        <f t="shared" si="4"/>
        <v>-51000.000000000007</v>
      </c>
      <c r="H7" s="12">
        <f t="shared" si="4"/>
        <v>-51000.000000000007</v>
      </c>
    </row>
    <row r="8" spans="1:17" x14ac:dyDescent="0.25">
      <c r="A8" s="1" t="s">
        <v>19</v>
      </c>
      <c r="B8">
        <v>-1</v>
      </c>
      <c r="D8" s="12">
        <f>$B$8*D5</f>
        <v>150000</v>
      </c>
      <c r="E8" s="12">
        <f t="shared" ref="E8:H8" si="5">$B$8*E5</f>
        <v>150000</v>
      </c>
      <c r="F8" s="12">
        <f t="shared" si="5"/>
        <v>150000</v>
      </c>
      <c r="G8" s="12">
        <f t="shared" si="5"/>
        <v>150000</v>
      </c>
      <c r="H8" s="12">
        <f t="shared" si="5"/>
        <v>150000</v>
      </c>
    </row>
    <row r="9" spans="1:17" x14ac:dyDescent="0.25">
      <c r="A9" s="1" t="s">
        <v>80</v>
      </c>
      <c r="C9" s="12">
        <f>K10</f>
        <v>-208333.33333333331</v>
      </c>
      <c r="D9" s="12">
        <f>K10-L10</f>
        <v>0</v>
      </c>
      <c r="E9" s="12">
        <f t="shared" ref="E9:G9" si="6">L10-M10</f>
        <v>0</v>
      </c>
      <c r="F9" s="12">
        <f t="shared" si="6"/>
        <v>0</v>
      </c>
      <c r="G9" s="12">
        <f t="shared" si="6"/>
        <v>0</v>
      </c>
      <c r="H9" s="12">
        <f>-C9</f>
        <v>208333.33333333331</v>
      </c>
      <c r="J9" s="75" t="s">
        <v>51</v>
      </c>
      <c r="K9" s="75"/>
    </row>
    <row r="10" spans="1:17" x14ac:dyDescent="0.25">
      <c r="A10" s="1" t="s">
        <v>82</v>
      </c>
      <c r="C10" s="12">
        <f>K11</f>
        <v>83333.333333333328</v>
      </c>
      <c r="D10" s="12">
        <f>L11-K11</f>
        <v>0</v>
      </c>
      <c r="E10" s="12">
        <f>M11-L11</f>
        <v>0</v>
      </c>
      <c r="F10" s="12">
        <f>N11-M11</f>
        <v>0</v>
      </c>
      <c r="G10" s="12">
        <f>O11-N11</f>
        <v>0</v>
      </c>
      <c r="H10" s="12">
        <f>Q11-O11</f>
        <v>-83333.333333333328</v>
      </c>
      <c r="J10" t="s">
        <v>57</v>
      </c>
      <c r="K10" s="12">
        <f>-D2*(60/360)</f>
        <v>-208333.33333333331</v>
      </c>
      <c r="L10" s="12">
        <f t="shared" ref="L10:O10" si="7">-E2*(60/360)</f>
        <v>-208333.33333333331</v>
      </c>
      <c r="M10" s="12">
        <f t="shared" si="7"/>
        <v>-208333.33333333331</v>
      </c>
      <c r="N10" s="12">
        <f t="shared" si="7"/>
        <v>-208333.33333333331</v>
      </c>
      <c r="O10" s="12">
        <f t="shared" si="7"/>
        <v>-208333.33333333331</v>
      </c>
      <c r="P10" s="7" t="s">
        <v>77</v>
      </c>
    </row>
    <row r="11" spans="1:17" x14ac:dyDescent="0.25">
      <c r="A11" s="1" t="s">
        <v>81</v>
      </c>
      <c r="C11" s="9">
        <f>K12</f>
        <v>-61111.111111111109</v>
      </c>
      <c r="D11" s="9">
        <v>0</v>
      </c>
      <c r="E11" s="9">
        <v>0</v>
      </c>
      <c r="F11" s="9">
        <v>0</v>
      </c>
      <c r="G11" s="9">
        <v>0</v>
      </c>
      <c r="H11" s="9">
        <f>-C11</f>
        <v>61111.111111111109</v>
      </c>
      <c r="J11" t="s">
        <v>53</v>
      </c>
      <c r="K11" s="12">
        <f>-D3*(40/360)</f>
        <v>83333.333333333328</v>
      </c>
      <c r="L11" s="12">
        <f t="shared" ref="L11:O11" si="8">-E3*(40/360)</f>
        <v>83333.333333333328</v>
      </c>
      <c r="M11" s="12">
        <f t="shared" si="8"/>
        <v>83333.333333333328</v>
      </c>
      <c r="N11" s="12">
        <f t="shared" si="8"/>
        <v>83333.333333333328</v>
      </c>
      <c r="O11" s="12">
        <f t="shared" si="8"/>
        <v>83333.333333333328</v>
      </c>
      <c r="P11" s="7" t="s">
        <v>78</v>
      </c>
    </row>
    <row r="12" spans="1:17" x14ac:dyDescent="0.25">
      <c r="A12" s="1" t="s">
        <v>40</v>
      </c>
      <c r="C12" s="9">
        <f>-J2</f>
        <v>-750000</v>
      </c>
      <c r="D12" s="9"/>
      <c r="E12" s="9"/>
      <c r="F12" s="9"/>
      <c r="G12" s="9"/>
      <c r="H12" s="9"/>
      <c r="J12" t="s">
        <v>56</v>
      </c>
      <c r="K12" s="8">
        <f>(D3+D4+D5)*(20/360)</f>
        <v>-61111.111111111109</v>
      </c>
      <c r="L12" s="8">
        <f t="shared" ref="L12:O12" si="9">(E3+E4+E5)*(20/360)</f>
        <v>-61111.111111111109</v>
      </c>
      <c r="M12" s="8">
        <f t="shared" si="9"/>
        <v>-61111.111111111109</v>
      </c>
      <c r="N12" s="8">
        <f t="shared" si="9"/>
        <v>-61111.111111111109</v>
      </c>
      <c r="O12" s="8">
        <f t="shared" si="9"/>
        <v>-61111.111111111109</v>
      </c>
      <c r="P12" s="7" t="s">
        <v>79</v>
      </c>
      <c r="Q12" t="s">
        <v>83</v>
      </c>
    </row>
    <row r="13" spans="1:17" x14ac:dyDescent="0.25">
      <c r="A13" s="16" t="s">
        <v>21</v>
      </c>
      <c r="B13" s="14"/>
      <c r="C13" s="59">
        <f>SUM(C6:C12)</f>
        <v>-936111.11111111112</v>
      </c>
      <c r="D13" s="59">
        <f t="shared" ref="D13:H13" si="10">SUM(D6:D12)</f>
        <v>249000</v>
      </c>
      <c r="E13" s="59">
        <f t="shared" si="10"/>
        <v>249000</v>
      </c>
      <c r="F13" s="59">
        <f t="shared" si="10"/>
        <v>249000</v>
      </c>
      <c r="G13" s="59">
        <f t="shared" si="10"/>
        <v>249000</v>
      </c>
      <c r="H13" s="59">
        <f t="shared" si="10"/>
        <v>435111.11111111112</v>
      </c>
    </row>
    <row r="14" spans="1:17" x14ac:dyDescent="0.25">
      <c r="A14" s="1" t="s">
        <v>42</v>
      </c>
      <c r="C14" s="9">
        <f>C13</f>
        <v>-936111.11111111112</v>
      </c>
      <c r="D14" s="9">
        <f>C14+D13</f>
        <v>-687111.11111111112</v>
      </c>
      <c r="E14" s="9">
        <f t="shared" ref="E14:H14" si="11">D14+E13</f>
        <v>-438111.11111111112</v>
      </c>
      <c r="F14" s="9">
        <f t="shared" si="11"/>
        <v>-189111.11111111112</v>
      </c>
      <c r="G14" s="9">
        <f t="shared" si="11"/>
        <v>59888.888888888876</v>
      </c>
      <c r="H14" s="9">
        <f t="shared" si="11"/>
        <v>495000</v>
      </c>
    </row>
    <row r="16" spans="1:17" x14ac:dyDescent="0.25">
      <c r="B16" s="7" t="s">
        <v>24</v>
      </c>
      <c r="E16" s="7" t="s">
        <v>25</v>
      </c>
      <c r="H16" s="7" t="s">
        <v>29</v>
      </c>
      <c r="J16" s="7"/>
      <c r="K16" s="7" t="s">
        <v>85</v>
      </c>
    </row>
    <row r="17" spans="1:12" x14ac:dyDescent="0.25">
      <c r="B17" s="61">
        <f>ABS(F14/G13)+3</f>
        <v>3.7594823739402052</v>
      </c>
      <c r="C17" s="62" t="s">
        <v>13</v>
      </c>
      <c r="E17" t="s">
        <v>26</v>
      </c>
      <c r="F17" s="13">
        <v>0.09</v>
      </c>
      <c r="H17" t="s">
        <v>26</v>
      </c>
      <c r="I17" s="13">
        <v>0.09</v>
      </c>
      <c r="K17" t="s">
        <v>26</v>
      </c>
      <c r="L17" s="13">
        <v>0.09</v>
      </c>
    </row>
    <row r="18" spans="1:12" x14ac:dyDescent="0.25">
      <c r="E18" s="62" t="s">
        <v>25</v>
      </c>
      <c r="F18" s="63">
        <f>NPV(F17,D13:H13)+C13</f>
        <v>153371.50591343606</v>
      </c>
      <c r="H18" s="62" t="s">
        <v>29</v>
      </c>
      <c r="I18" s="64">
        <f>MIRR(C13:H13,I17,I17)</f>
        <v>0.12358279137437234</v>
      </c>
      <c r="K18" s="62" t="s">
        <v>85</v>
      </c>
      <c r="L18" s="64">
        <f>IRR(C13:H13)</f>
        <v>0.14628895537363462</v>
      </c>
    </row>
    <row r="20" spans="1:12" x14ac:dyDescent="0.25">
      <c r="A20" s="4" t="s">
        <v>84</v>
      </c>
    </row>
    <row r="21" spans="1:12" x14ac:dyDescent="0.25">
      <c r="A21" t="s">
        <v>83</v>
      </c>
    </row>
  </sheetData>
  <mergeCells count="1">
    <mergeCell ref="J9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4D11-042F-406C-B60E-61A387EF48D7}">
  <dimension ref="A1:O23"/>
  <sheetViews>
    <sheetView topLeftCell="A4" workbookViewId="0">
      <selection activeCell="D25" sqref="D25"/>
    </sheetView>
  </sheetViews>
  <sheetFormatPr baseColWidth="10" defaultRowHeight="15" x14ac:dyDescent="0.25"/>
  <cols>
    <col min="1" max="1" width="73.140625" style="1" bestFit="1" customWidth="1"/>
    <col min="3" max="8" width="13" bestFit="1" customWidth="1"/>
    <col min="10" max="10" width="28.28515625" bestFit="1" customWidth="1"/>
  </cols>
  <sheetData>
    <row r="1" spans="1:15" x14ac:dyDescent="0.25">
      <c r="B1" s="5" t="s">
        <v>5</v>
      </c>
      <c r="C1" s="54" t="s">
        <v>16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J1" s="6" t="s">
        <v>76</v>
      </c>
    </row>
    <row r="2" spans="1:15" x14ac:dyDescent="0.25">
      <c r="A2" s="1" t="s">
        <v>0</v>
      </c>
      <c r="B2" s="13">
        <v>0.1</v>
      </c>
      <c r="D2" s="12">
        <v>60000</v>
      </c>
      <c r="E2" s="12">
        <f>D2+(D2*$B$2)</f>
        <v>66000</v>
      </c>
      <c r="F2" s="12">
        <f t="shared" ref="F2:H2" si="0">E2+(E2*$B$2)</f>
        <v>72600</v>
      </c>
      <c r="G2" s="12">
        <f t="shared" si="0"/>
        <v>79860</v>
      </c>
      <c r="H2" s="12">
        <f t="shared" si="0"/>
        <v>87846</v>
      </c>
      <c r="J2" s="12">
        <v>150000</v>
      </c>
    </row>
    <row r="3" spans="1:15" x14ac:dyDescent="0.25">
      <c r="A3" s="1" t="s">
        <v>87</v>
      </c>
      <c r="B3" s="13">
        <v>0.05</v>
      </c>
      <c r="D3" s="12">
        <v>-30000</v>
      </c>
      <c r="E3" s="12">
        <f>($B$3*D3)+D3</f>
        <v>-31500</v>
      </c>
      <c r="F3" s="12">
        <f t="shared" ref="F3:H3" si="1">($B$3*E3)+E3</f>
        <v>-33075</v>
      </c>
      <c r="G3" s="12">
        <f t="shared" si="1"/>
        <v>-34728.75</v>
      </c>
      <c r="H3" s="12">
        <f t="shared" si="1"/>
        <v>-36465.1875</v>
      </c>
      <c r="J3" s="7"/>
    </row>
    <row r="4" spans="1:15" x14ac:dyDescent="0.25">
      <c r="A4" s="1" t="s">
        <v>86</v>
      </c>
      <c r="B4" s="13">
        <v>0.4</v>
      </c>
      <c r="D4" s="12">
        <f>-D2*$B$4</f>
        <v>-24000</v>
      </c>
      <c r="E4" s="12">
        <f>-E2*$B$4</f>
        <v>-26400</v>
      </c>
      <c r="F4" s="12">
        <f t="shared" ref="F4:H4" si="2">-F2*$B$4</f>
        <v>-29040</v>
      </c>
      <c r="G4" s="12">
        <f t="shared" si="2"/>
        <v>-31944</v>
      </c>
      <c r="H4" s="12">
        <f t="shared" si="2"/>
        <v>-35138.400000000001</v>
      </c>
    </row>
    <row r="5" spans="1:15" x14ac:dyDescent="0.25">
      <c r="A5" s="1" t="s">
        <v>2</v>
      </c>
      <c r="B5" s="13">
        <v>0.2</v>
      </c>
      <c r="D5" s="12">
        <f>-J2*B5</f>
        <v>-30000</v>
      </c>
      <c r="E5" s="12">
        <f>D5</f>
        <v>-30000</v>
      </c>
      <c r="F5" s="12">
        <f t="shared" ref="F5:H5" si="3">E5</f>
        <v>-30000</v>
      </c>
      <c r="G5" s="12">
        <f t="shared" si="3"/>
        <v>-30000</v>
      </c>
      <c r="H5" s="12">
        <f t="shared" si="3"/>
        <v>-30000</v>
      </c>
    </row>
    <row r="6" spans="1:15" x14ac:dyDescent="0.25">
      <c r="A6" s="16" t="s">
        <v>50</v>
      </c>
      <c r="B6" s="14"/>
      <c r="C6" s="14"/>
      <c r="D6" s="58">
        <f>SUM(D2:D5)</f>
        <v>-24000</v>
      </c>
      <c r="E6" s="58">
        <f t="shared" ref="E6:H6" si="4">SUM(E2:E5)</f>
        <v>-21900</v>
      </c>
      <c r="F6" s="58">
        <f t="shared" si="4"/>
        <v>-19515</v>
      </c>
      <c r="G6" s="58">
        <f t="shared" si="4"/>
        <v>-16812.75</v>
      </c>
      <c r="H6" s="58">
        <f t="shared" si="4"/>
        <v>-13757.587500000001</v>
      </c>
    </row>
    <row r="7" spans="1:15" x14ac:dyDescent="0.25">
      <c r="A7" s="1" t="s">
        <v>4</v>
      </c>
      <c r="B7" s="13">
        <v>0.4</v>
      </c>
      <c r="D7" s="12">
        <f>-$B$7*D6</f>
        <v>9600</v>
      </c>
      <c r="E7" s="12">
        <f t="shared" ref="E7:H7" si="5">-$B$7*E6</f>
        <v>8760</v>
      </c>
      <c r="F7" s="12">
        <f t="shared" si="5"/>
        <v>7806</v>
      </c>
      <c r="G7" s="12">
        <f t="shared" si="5"/>
        <v>6725.1</v>
      </c>
      <c r="H7" s="12">
        <f t="shared" si="5"/>
        <v>5503.0350000000008</v>
      </c>
      <c r="I7" s="1" t="str">
        <f>A21</f>
        <v>When we have no profits, instead losses, the taxes are paid to us, not otherwise</v>
      </c>
      <c r="J7" s="7" t="s">
        <v>51</v>
      </c>
    </row>
    <row r="8" spans="1:15" x14ac:dyDescent="0.25">
      <c r="A8" s="1" t="s">
        <v>19</v>
      </c>
      <c r="B8" s="18">
        <v>-1</v>
      </c>
      <c r="D8" s="12">
        <f>$B$8*D5</f>
        <v>30000</v>
      </c>
      <c r="E8" s="12">
        <f t="shared" ref="E8:H8" si="6">$B$8*E5</f>
        <v>30000</v>
      </c>
      <c r="F8" s="12">
        <f t="shared" si="6"/>
        <v>30000</v>
      </c>
      <c r="G8" s="12">
        <f t="shared" si="6"/>
        <v>30000</v>
      </c>
      <c r="H8" s="12">
        <f t="shared" si="6"/>
        <v>30000</v>
      </c>
      <c r="J8" s="60" t="s">
        <v>89</v>
      </c>
      <c r="K8" s="8">
        <f>-D2*5%</f>
        <v>-3000</v>
      </c>
      <c r="L8" s="8">
        <f t="shared" ref="L8:O8" si="7">-E2*5%</f>
        <v>-3300</v>
      </c>
      <c r="M8" s="8">
        <f t="shared" si="7"/>
        <v>-3630</v>
      </c>
      <c r="N8" s="8">
        <f t="shared" si="7"/>
        <v>-3993</v>
      </c>
      <c r="O8" s="8">
        <f t="shared" si="7"/>
        <v>-4392.3</v>
      </c>
    </row>
    <row r="9" spans="1:15" x14ac:dyDescent="0.25">
      <c r="A9" s="33" t="s">
        <v>93</v>
      </c>
      <c r="B9" s="65"/>
      <c r="C9" s="14"/>
      <c r="D9" s="58">
        <f>SUM(D6:D8)</f>
        <v>15600</v>
      </c>
      <c r="E9" s="58">
        <f t="shared" ref="E9:H9" si="8">SUM(E6:E8)</f>
        <v>16860</v>
      </c>
      <c r="F9" s="58">
        <f t="shared" si="8"/>
        <v>18291</v>
      </c>
      <c r="G9" s="58">
        <f t="shared" si="8"/>
        <v>19912.349999999999</v>
      </c>
      <c r="H9" s="58">
        <f t="shared" si="8"/>
        <v>21745.447499999998</v>
      </c>
      <c r="I9" s="1" t="str">
        <f>A23</f>
        <v>Intermidiate cashflow (CFFO) which we do not really need to do it</v>
      </c>
      <c r="J9" s="60" t="s">
        <v>96</v>
      </c>
      <c r="K9" s="8"/>
      <c r="L9" s="8"/>
      <c r="M9" s="8"/>
      <c r="N9" s="8"/>
      <c r="O9" s="8"/>
    </row>
    <row r="10" spans="1:15" x14ac:dyDescent="0.25">
      <c r="A10" s="1" t="s">
        <v>40</v>
      </c>
      <c r="C10" s="12">
        <f>-J2</f>
        <v>-150000</v>
      </c>
      <c r="J10" s="60"/>
      <c r="K10" s="8"/>
      <c r="L10" s="8"/>
      <c r="M10" s="8"/>
      <c r="N10" s="8"/>
      <c r="O10" s="8"/>
    </row>
    <row r="11" spans="1:15" x14ac:dyDescent="0.25">
      <c r="A11" s="1" t="s">
        <v>88</v>
      </c>
      <c r="C11" s="9">
        <f>K8</f>
        <v>-3000</v>
      </c>
      <c r="D11" s="9">
        <f>L8-K8</f>
        <v>-300</v>
      </c>
      <c r="E11" s="9">
        <f t="shared" ref="E11:H11" si="9">M8-L8</f>
        <v>-330</v>
      </c>
      <c r="F11" s="9">
        <f t="shared" si="9"/>
        <v>-363</v>
      </c>
      <c r="G11" s="9">
        <f t="shared" si="9"/>
        <v>-399.30000000000018</v>
      </c>
      <c r="H11" s="9">
        <f t="shared" si="9"/>
        <v>4392.3</v>
      </c>
      <c r="I11" s="1" t="str">
        <f>A22</f>
        <v>We use the 5 % from the sales because it says it on the text</v>
      </c>
      <c r="J11" s="60" t="s">
        <v>96</v>
      </c>
    </row>
    <row r="12" spans="1:15" x14ac:dyDescent="0.25">
      <c r="A12" s="16" t="s">
        <v>21</v>
      </c>
      <c r="B12" s="14"/>
      <c r="C12" s="59">
        <f>SUM(C9:C11)</f>
        <v>-153000</v>
      </c>
      <c r="D12" s="59">
        <f>SUM(D9:D11)</f>
        <v>15300</v>
      </c>
      <c r="E12" s="59">
        <f t="shared" ref="E12:H12" si="10">SUM(E9:E11)</f>
        <v>16530</v>
      </c>
      <c r="F12" s="59">
        <f t="shared" si="10"/>
        <v>17928</v>
      </c>
      <c r="G12" s="59">
        <f t="shared" si="10"/>
        <v>19513.05</v>
      </c>
      <c r="H12" s="59">
        <f t="shared" si="10"/>
        <v>26137.747499999998</v>
      </c>
    </row>
    <row r="13" spans="1:15" x14ac:dyDescent="0.25">
      <c r="A13" s="1" t="s">
        <v>42</v>
      </c>
      <c r="C13" s="9">
        <f>C12</f>
        <v>-153000</v>
      </c>
      <c r="D13" s="9">
        <f>C13+D12</f>
        <v>-137700</v>
      </c>
      <c r="E13" s="9">
        <f t="shared" ref="E13:H13" si="11">D13+E12</f>
        <v>-121170</v>
      </c>
      <c r="F13" s="9">
        <f t="shared" si="11"/>
        <v>-103242</v>
      </c>
      <c r="G13" s="9">
        <f t="shared" si="11"/>
        <v>-83728.95</v>
      </c>
      <c r="H13" s="9">
        <f t="shared" si="11"/>
        <v>-57591.202499999999</v>
      </c>
    </row>
    <row r="15" spans="1:15" x14ac:dyDescent="0.25">
      <c r="B15" s="7" t="s">
        <v>24</v>
      </c>
      <c r="E15" s="7" t="s">
        <v>90</v>
      </c>
      <c r="H15" s="7" t="s">
        <v>85</v>
      </c>
      <c r="K15" s="7" t="s">
        <v>29</v>
      </c>
    </row>
    <row r="16" spans="1:15" x14ac:dyDescent="0.25">
      <c r="B16" s="62" t="s">
        <v>97</v>
      </c>
      <c r="C16" s="62"/>
      <c r="E16" t="s">
        <v>26</v>
      </c>
      <c r="F16" s="34">
        <v>0.1237</v>
      </c>
      <c r="H16" t="s">
        <v>26</v>
      </c>
      <c r="I16" s="34">
        <v>0.1237</v>
      </c>
      <c r="K16" t="s">
        <v>26</v>
      </c>
      <c r="L16" s="34">
        <v>0.1237</v>
      </c>
    </row>
    <row r="17" spans="1:12" x14ac:dyDescent="0.25">
      <c r="E17" s="67" t="s">
        <v>90</v>
      </c>
      <c r="F17" s="66">
        <f>NPV(F16,D12:H12)+C12</f>
        <v>-86831.069467187597</v>
      </c>
      <c r="H17" s="67" t="s">
        <v>85</v>
      </c>
      <c r="I17" s="68">
        <f>IRR(C12:H12)</f>
        <v>-0.12975546313171515</v>
      </c>
      <c r="K17" s="67" t="s">
        <v>29</v>
      </c>
      <c r="L17" s="68">
        <f>MIRR(C12:H12,L16,L16)</f>
        <v>-4.9738973366997952E-2</v>
      </c>
    </row>
    <row r="20" spans="1:12" x14ac:dyDescent="0.25">
      <c r="A20" s="4" t="s">
        <v>91</v>
      </c>
    </row>
    <row r="21" spans="1:12" x14ac:dyDescent="0.25">
      <c r="A21" s="27" t="s">
        <v>92</v>
      </c>
    </row>
    <row r="22" spans="1:12" x14ac:dyDescent="0.25">
      <c r="A22" s="1" t="s">
        <v>94</v>
      </c>
    </row>
    <row r="23" spans="1:12" x14ac:dyDescent="0.25">
      <c r="A2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Ex. 1</vt:lpstr>
      <vt:lpstr>Ex.2</vt:lpstr>
      <vt:lpstr>Ex.3</vt:lpstr>
      <vt:lpstr>EX. 4</vt:lpstr>
      <vt:lpstr>Ex. 5</vt:lpstr>
      <vt:lpstr>Ex. 6</vt:lpstr>
      <vt:lpstr>Ex.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</dc:creator>
  <cp:lastModifiedBy>alber</cp:lastModifiedBy>
  <dcterms:created xsi:type="dcterms:W3CDTF">2020-10-08T13:20:04Z</dcterms:created>
  <dcterms:modified xsi:type="dcterms:W3CDTF">2020-11-02T18:50:26Z</dcterms:modified>
</cp:coreProperties>
</file>