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ber\Desktop\DOCUMENTOS ALBERTO AÑO 4\DIRECCIÓN FINANCIERA\EJERCICIOS\"/>
    </mc:Choice>
  </mc:AlternateContent>
  <xr:revisionPtr revIDLastSave="0" documentId="8_{37A6038B-2AE4-41C6-AE62-734B3E1CC1F2}" xr6:coauthVersionLast="45" xr6:coauthVersionMax="45" xr10:uidLastSave="{00000000-0000-0000-0000-000000000000}"/>
  <bookViews>
    <workbookView xWindow="-120" yWindow="-120" windowWidth="20730" windowHeight="11160" activeTab="3" xr2:uid="{3C60AB03-0ED5-465C-BD93-7F3C14D83033}"/>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4" l="1"/>
  <c r="J11" i="4"/>
  <c r="J10" i="4"/>
  <c r="H11" i="4"/>
  <c r="G3" i="4"/>
  <c r="H10" i="4"/>
  <c r="I3" i="4"/>
  <c r="I4" i="4" s="1"/>
  <c r="G4" i="4"/>
  <c r="B11" i="4"/>
  <c r="B6" i="4"/>
  <c r="B5" i="4"/>
  <c r="B4" i="4"/>
  <c r="B3" i="4"/>
  <c r="E15" i="3"/>
  <c r="K13" i="3"/>
  <c r="K11" i="3"/>
  <c r="K10" i="3"/>
  <c r="K9" i="3"/>
  <c r="H9" i="3"/>
  <c r="E10" i="3"/>
  <c r="E9" i="3"/>
  <c r="E11" i="3" s="1"/>
  <c r="E3" i="3"/>
  <c r="D14" i="2"/>
  <c r="B16" i="2"/>
  <c r="B15" i="2"/>
  <c r="B14" i="2"/>
  <c r="G5" i="2"/>
  <c r="O4" i="2"/>
  <c r="G4" i="2"/>
  <c r="H3" i="2"/>
  <c r="I3" i="2" s="1"/>
  <c r="J3" i="2" s="1"/>
  <c r="K3" i="2" s="1"/>
  <c r="L3" i="2" s="1"/>
  <c r="M3" i="2" s="1"/>
  <c r="N3" i="2" s="1"/>
  <c r="O3" i="2" s="1"/>
  <c r="G3" i="2"/>
  <c r="F3" i="2"/>
  <c r="D7" i="2"/>
  <c r="B13" i="1"/>
  <c r="B12" i="1"/>
  <c r="E12" i="3" l="1"/>
  <c r="E13" i="3" s="1"/>
  <c r="H10" i="3" s="1"/>
  <c r="H11" i="3" s="1"/>
  <c r="E5" i="1"/>
  <c r="D7" i="1"/>
  <c r="N4" i="1"/>
  <c r="E4" i="1"/>
  <c r="N3" i="1"/>
  <c r="M3" i="1"/>
  <c r="L3" i="1"/>
  <c r="K3" i="1"/>
  <c r="J3" i="1"/>
  <c r="I3" i="1"/>
  <c r="H3" i="1"/>
  <c r="G3" i="1"/>
  <c r="F3" i="1"/>
  <c r="E3" i="1"/>
</calcChain>
</file>

<file path=xl/sharedStrings.xml><?xml version="1.0" encoding="utf-8"?>
<sst xmlns="http://schemas.openxmlformats.org/spreadsheetml/2006/main" count="116" uniqueCount="72">
  <si>
    <t>Characteristics of the Business</t>
  </si>
  <si>
    <t>Debt</t>
  </si>
  <si>
    <t>Number of Bonds</t>
  </si>
  <si>
    <t>Face Value</t>
  </si>
  <si>
    <t>Coupon</t>
  </si>
  <si>
    <t>Maturity</t>
  </si>
  <si>
    <t>years</t>
  </si>
  <si>
    <t>Price when Issued (P-1)</t>
  </si>
  <si>
    <t>Year 1</t>
  </si>
  <si>
    <t>Year 2</t>
  </si>
  <si>
    <t>Year 3</t>
  </si>
  <si>
    <t>Year 4</t>
  </si>
  <si>
    <t>Year 5</t>
  </si>
  <si>
    <t>Year 6</t>
  </si>
  <si>
    <t>Year 7</t>
  </si>
  <si>
    <t>Year 8</t>
  </si>
  <si>
    <t>Year 9</t>
  </si>
  <si>
    <t>Year 10</t>
  </si>
  <si>
    <t>Coupon Value</t>
  </si>
  <si>
    <t>Transaction Costs</t>
  </si>
  <si>
    <t>Transaction Cost per bond</t>
  </si>
  <si>
    <t>Price of the Bond</t>
  </si>
  <si>
    <t>Price of the bond with the Transaction cost</t>
  </si>
  <si>
    <t>Kd</t>
  </si>
  <si>
    <t>Tax rate</t>
  </si>
  <si>
    <t>Kd pretax</t>
  </si>
  <si>
    <r>
      <t>Explanation:</t>
    </r>
    <r>
      <rPr>
        <sz val="11"/>
        <color theme="1"/>
        <rFont val="Calibri"/>
        <family val="2"/>
        <scheme val="minor"/>
      </rPr>
      <t xml:space="preserve"> For the debt that was issued and is currently on the balance sheet of the business we had to pay a 3,50 %. As we can see, here we are using the flotation cost in order to know the real price of the bond or what the company perceives from the emition of bonds. Also we have to take into account the difference between marginal cost of Debt and the debt cost now. Here we are seeing the current debt l I believe as it is the debt that we already have on the balance sheet. </t>
    </r>
  </si>
  <si>
    <t>Price Now (P0)</t>
  </si>
  <si>
    <t>Bond years from when it was issued</t>
  </si>
  <si>
    <t>year ago</t>
  </si>
  <si>
    <t>Kd of the Bond</t>
  </si>
  <si>
    <t>Bank Loan rate that it could obtain</t>
  </si>
  <si>
    <t>Kd of the Bank Loan</t>
  </si>
  <si>
    <t>&lt;</t>
  </si>
  <si>
    <t>Because the cost is smaller with the loan, it is better for the business to have debt through the loan than by emiting bonds</t>
  </si>
  <si>
    <r>
      <t>Explanatin:</t>
    </r>
    <r>
      <rPr>
        <sz val="11"/>
        <color theme="1"/>
        <rFont val="Calibri"/>
        <family val="2"/>
        <scheme val="minor"/>
      </rPr>
      <t xml:space="preserve"> As we can see here, this is the cost of the debt if we were going to ask for borrowed money now, how much it would cost us, the marginal cost. As we can see, the cost of Bonds is higher than the one offered by the bank, because of it we decide on contract debt through the finance of the bank loan. This situation could be because of a </t>
    </r>
    <r>
      <rPr>
        <b/>
        <sz val="11"/>
        <color theme="1"/>
        <rFont val="Calibri"/>
        <family val="2"/>
        <scheme val="minor"/>
      </rPr>
      <t>Trading risk increase</t>
    </r>
    <r>
      <rPr>
        <sz val="11"/>
        <color theme="1"/>
        <rFont val="Calibri"/>
        <family val="2"/>
        <scheme val="minor"/>
      </rPr>
      <t xml:space="preserve"> on the company bonds through contracting more debt and increasing its risk, or it could be thanks to an </t>
    </r>
    <r>
      <rPr>
        <b/>
        <sz val="11"/>
        <color theme="1"/>
        <rFont val="Calibri"/>
        <family val="2"/>
        <scheme val="minor"/>
      </rPr>
      <t>increase on the interest rate</t>
    </r>
    <r>
      <rPr>
        <sz val="11"/>
        <color theme="1"/>
        <rFont val="Calibri"/>
        <family val="2"/>
        <scheme val="minor"/>
      </rPr>
      <t xml:space="preserve"> making the overall costs increase. </t>
    </r>
  </si>
  <si>
    <t>Characteristics of the firm</t>
  </si>
  <si>
    <t>Equity</t>
  </si>
  <si>
    <t>CAPM</t>
  </si>
  <si>
    <t>Rf</t>
  </si>
  <si>
    <t>Beta</t>
  </si>
  <si>
    <t>Rm</t>
  </si>
  <si>
    <t>Ke</t>
  </si>
  <si>
    <t>DDM</t>
  </si>
  <si>
    <t>g</t>
  </si>
  <si>
    <t>P0</t>
  </si>
  <si>
    <t>Value of shares Book Value</t>
  </si>
  <si>
    <t>EBIT</t>
  </si>
  <si>
    <t>Payout</t>
  </si>
  <si>
    <t>EBT</t>
  </si>
  <si>
    <t>(Interest)</t>
  </si>
  <si>
    <t>(Tax)</t>
  </si>
  <si>
    <t>Net Income</t>
  </si>
  <si>
    <t>Dividends</t>
  </si>
  <si>
    <t>Common stock</t>
  </si>
  <si>
    <t>Value of common stock BV</t>
  </si>
  <si>
    <t>Number of stocks</t>
  </si>
  <si>
    <t>Final Dividend</t>
  </si>
  <si>
    <r>
      <t xml:space="preserve">Explanation: </t>
    </r>
    <r>
      <rPr>
        <sz val="11"/>
        <color theme="1"/>
        <rFont val="Calibri"/>
        <family val="2"/>
        <scheme val="minor"/>
      </rPr>
      <t xml:space="preserve">Here is another way of reaching the Ke by the DDM model. As we can see we just had to find the Net Income in order to know how much money is being given as well as the number of stocks that the company has in order to know how much dividend is for each. We have new concepts like </t>
    </r>
    <r>
      <rPr>
        <b/>
        <sz val="11"/>
        <color theme="1"/>
        <rFont val="Calibri"/>
        <family val="2"/>
        <scheme val="minor"/>
      </rPr>
      <t>Payout,</t>
    </r>
    <r>
      <rPr>
        <sz val="11"/>
        <color theme="1"/>
        <rFont val="Calibri"/>
        <family val="2"/>
        <scheme val="minor"/>
      </rPr>
      <t xml:space="preserve"> that is the % that is going to be dedicated to shares from the operating income. Also remark that the interest of the debt is the Coupons. In the end the difference is minimum between the CAPM and the DDM in this case, showing how much is need it to give in return to the stockholders for their investment in the company. At last, we do not multiplicate the Dividend as it is already the final dividend, it is included on the Net Income and on the common stock. </t>
    </r>
  </si>
  <si>
    <t>Ke CAMP</t>
  </si>
  <si>
    <t>Price of Common stock</t>
  </si>
  <si>
    <t>Market price of stock</t>
  </si>
  <si>
    <t>Book Value of Debt</t>
  </si>
  <si>
    <t>Current Liabilities</t>
  </si>
  <si>
    <t>We do not use it as it isn't Long Term Debt</t>
  </si>
  <si>
    <t>Retained earnings</t>
  </si>
  <si>
    <t>We do not use it as it is already included in the 8 € of the market price</t>
  </si>
  <si>
    <t>Weight of Debt and Equity BV</t>
  </si>
  <si>
    <t>in %</t>
  </si>
  <si>
    <t>Weight of Debt and Equity market Value</t>
  </si>
  <si>
    <t>Price of the Bond now</t>
  </si>
  <si>
    <t>WACC or Cost of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</si>
</sst>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 #,##0.00\ [$€-C0A]_-;\-* #,##0.00\ [$€-C0A]_-;_-* &quot;-&quot;??\ [$€-C0A]_-;_-@_-"/>
    <numFmt numFmtId="169" formatCode="_-* #,##0_-;\-* #,##0_-;_-* &quot;-&quot;??_-;_-@_-"/>
  </numFmts>
  <fonts count="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8"/>
      <name val="Calibri"/>
      <family val="2"/>
      <scheme val="minor"/>
    </font>
    <font>
      <b/>
      <sz val="11"/>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1"/>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s>
  <borders count="2">
    <border>
      <left/>
      <right/>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3" fillId="0" borderId="0" xfId="0" applyFont="1"/>
    <xf numFmtId="0" fontId="4" fillId="0" borderId="0" xfId="0" applyFont="1"/>
    <xf numFmtId="0" fontId="0" fillId="0" borderId="0" xfId="0" applyFont="1"/>
    <xf numFmtId="43" fontId="0" fillId="0" borderId="0" xfId="1" applyFont="1"/>
    <xf numFmtId="164" fontId="0" fillId="0" borderId="0" xfId="1" applyNumberFormat="1" applyFont="1"/>
    <xf numFmtId="10" fontId="0" fillId="0" borderId="0" xfId="0" applyNumberFormat="1"/>
    <xf numFmtId="9" fontId="0" fillId="0" borderId="0" xfId="0" applyNumberFormat="1"/>
    <xf numFmtId="0" fontId="0" fillId="2" borderId="0" xfId="0" applyFill="1"/>
    <xf numFmtId="0" fontId="0" fillId="3" borderId="0" xfId="0" applyFill="1"/>
    <xf numFmtId="164" fontId="0" fillId="0" borderId="0" xfId="0" applyNumberFormat="1"/>
    <xf numFmtId="44" fontId="0" fillId="0" borderId="0" xfId="2" applyFont="1"/>
    <xf numFmtId="0" fontId="0" fillId="4" borderId="0" xfId="0" applyFill="1" applyAlignment="1">
      <alignment wrapText="1"/>
    </xf>
    <xf numFmtId="10" fontId="0" fillId="0" borderId="0" xfId="3" applyNumberFormat="1" applyFont="1"/>
    <xf numFmtId="9" fontId="0" fillId="0" borderId="0" xfId="1" applyNumberFormat="1" applyFont="1"/>
    <xf numFmtId="0" fontId="6" fillId="0" borderId="0" xfId="0" applyFont="1"/>
    <xf numFmtId="10" fontId="2" fillId="0" borderId="0" xfId="0" applyNumberFormat="1" applyFont="1"/>
    <xf numFmtId="0" fontId="0" fillId="0" borderId="0" xfId="0" applyAlignment="1">
      <alignment horizontal="center"/>
    </xf>
    <xf numFmtId="0" fontId="3" fillId="0" borderId="0" xfId="0" applyFont="1" applyAlignment="1">
      <alignment horizontal="left" vertical="top" wrapText="1"/>
    </xf>
    <xf numFmtId="0" fontId="0" fillId="5" borderId="0" xfId="0" applyFill="1"/>
    <xf numFmtId="0" fontId="3" fillId="6" borderId="0" xfId="0" applyFont="1" applyFill="1"/>
    <xf numFmtId="0" fontId="0" fillId="6" borderId="0" xfId="0" applyFill="1"/>
    <xf numFmtId="10" fontId="0" fillId="6" borderId="0" xfId="0" applyNumberFormat="1" applyFill="1"/>
    <xf numFmtId="9" fontId="0" fillId="6" borderId="0" xfId="0" applyNumberFormat="1" applyFill="1"/>
    <xf numFmtId="169" fontId="0" fillId="0" borderId="0" xfId="1" applyNumberFormat="1" applyFont="1"/>
    <xf numFmtId="0" fontId="3" fillId="3" borderId="0" xfId="0" applyFont="1" applyFill="1"/>
    <xf numFmtId="9" fontId="0" fillId="3" borderId="0" xfId="0" applyNumberFormat="1" applyFill="1"/>
    <xf numFmtId="44" fontId="0" fillId="3" borderId="0" xfId="2" applyFont="1" applyFill="1"/>
    <xf numFmtId="44" fontId="0" fillId="0" borderId="0" xfId="0" applyNumberFormat="1"/>
    <xf numFmtId="43" fontId="0" fillId="0" borderId="1" xfId="1" applyFont="1" applyBorder="1"/>
    <xf numFmtId="0" fontId="0" fillId="0" borderId="1" xfId="0" applyFont="1" applyBorder="1"/>
    <xf numFmtId="0" fontId="0" fillId="0" borderId="1" xfId="0" applyFont="1" applyFill="1" applyBorder="1"/>
    <xf numFmtId="44" fontId="0" fillId="0" borderId="1" xfId="0" applyNumberFormat="1" applyBorder="1"/>
    <xf numFmtId="0" fontId="3" fillId="0" borderId="0" xfId="0" applyFont="1" applyFill="1"/>
    <xf numFmtId="9" fontId="0" fillId="0" borderId="0" xfId="0" applyNumberFormat="1" applyFill="1"/>
    <xf numFmtId="0" fontId="4" fillId="7" borderId="0" xfId="0" applyFont="1" applyFill="1"/>
    <xf numFmtId="0" fontId="0" fillId="7" borderId="0" xfId="0" applyFill="1"/>
    <xf numFmtId="0" fontId="3" fillId="7" borderId="0" xfId="0" applyFont="1" applyFill="1"/>
    <xf numFmtId="43" fontId="0" fillId="7" borderId="0" xfId="1" applyFont="1" applyFill="1"/>
    <xf numFmtId="9" fontId="0" fillId="7" borderId="0" xfId="0" applyNumberFormat="1" applyFill="1"/>
    <xf numFmtId="44" fontId="3" fillId="0" borderId="0" xfId="0" applyNumberFormat="1" applyFont="1"/>
    <xf numFmtId="43" fontId="0" fillId="3" borderId="0" xfId="1" applyFont="1" applyFill="1"/>
    <xf numFmtId="43" fontId="0" fillId="0" borderId="0" xfId="0" applyNumberFormat="1"/>
    <xf numFmtId="2" fontId="0" fillId="0" borderId="0" xfId="0" applyNumberFormat="1"/>
    <xf numFmtId="0" fontId="0" fillId="3" borderId="0" xfId="0" applyFont="1" applyFill="1"/>
    <xf numFmtId="10" fontId="0" fillId="3" borderId="0" xfId="3" applyNumberFormat="1" applyFont="1" applyFill="1"/>
    <xf numFmtId="43" fontId="0" fillId="0" borderId="0" xfId="1" applyFont="1" applyAlignment="1">
      <alignment horizontal="right"/>
    </xf>
    <xf numFmtId="10" fontId="0" fillId="7" borderId="0" xfId="0" applyNumberFormat="1" applyFill="1"/>
    <xf numFmtId="0" fontId="4" fillId="8" borderId="0" xfId="0" applyFont="1" applyFill="1"/>
    <xf numFmtId="0" fontId="0" fillId="8" borderId="0" xfId="0" applyFill="1"/>
    <xf numFmtId="0" fontId="3" fillId="8" borderId="0" xfId="0" applyFont="1" applyFill="1"/>
    <xf numFmtId="10" fontId="0" fillId="8" borderId="0" xfId="0" applyNumberFormat="1" applyFill="1"/>
    <xf numFmtId="44" fontId="0" fillId="8" borderId="0" xfId="0" applyNumberFormat="1" applyFill="1"/>
    <xf numFmtId="43" fontId="0" fillId="8" borderId="0" xfId="0" applyNumberFormat="1" applyFill="1"/>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5D67-4014-4E59-871E-BD584BF6201D}">
  <dimension ref="A1:N23"/>
  <sheetViews>
    <sheetView workbookViewId="0">
      <selection activeCell="B8" sqref="B8"/>
    </sheetView>
  </sheetViews>
  <sheetFormatPr baseColWidth="10" defaultRowHeight="15" x14ac:dyDescent="0.25"/>
  <cols>
    <col min="1" max="1" width="28.140625" style="1" bestFit="1" customWidth="1"/>
    <col min="3" max="3" width="24.140625" bestFit="1" customWidth="1"/>
    <col min="4" max="4" width="22.28515625" customWidth="1"/>
  </cols>
  <sheetData>
    <row r="1" spans="1:14" x14ac:dyDescent="0.25">
      <c r="A1" s="2" t="s">
        <v>0</v>
      </c>
      <c r="E1" s="1" t="s">
        <v>8</v>
      </c>
      <c r="F1" s="1" t="s">
        <v>9</v>
      </c>
      <c r="G1" s="1" t="s">
        <v>10</v>
      </c>
      <c r="H1" s="1" t="s">
        <v>11</v>
      </c>
      <c r="I1" s="1" t="s">
        <v>12</v>
      </c>
      <c r="J1" s="1" t="s">
        <v>13</v>
      </c>
      <c r="K1" s="1" t="s">
        <v>14</v>
      </c>
      <c r="L1" s="1" t="s">
        <v>15</v>
      </c>
      <c r="M1" s="1" t="s">
        <v>16</v>
      </c>
      <c r="N1" s="1" t="s">
        <v>17</v>
      </c>
    </row>
    <row r="2" spans="1:14" x14ac:dyDescent="0.25">
      <c r="A2" s="2" t="s">
        <v>1</v>
      </c>
      <c r="E2" s="8"/>
      <c r="F2" s="9"/>
      <c r="G2" s="9"/>
      <c r="H2" s="9"/>
      <c r="I2" s="9"/>
      <c r="J2" s="9"/>
      <c r="K2" s="9"/>
      <c r="L2" s="9"/>
      <c r="M2" s="9"/>
      <c r="N2" s="9"/>
    </row>
    <row r="3" spans="1:14" x14ac:dyDescent="0.25">
      <c r="A3" s="1" t="s">
        <v>3</v>
      </c>
      <c r="B3" s="5">
        <v>1000</v>
      </c>
      <c r="D3" s="8" t="s">
        <v>18</v>
      </c>
      <c r="E3" s="10">
        <f>$B$3*$B$4</f>
        <v>55</v>
      </c>
      <c r="F3" s="10">
        <f t="shared" ref="F3:N3" si="0">$B$3*$B$4</f>
        <v>55</v>
      </c>
      <c r="G3" s="10">
        <f t="shared" si="0"/>
        <v>55</v>
      </c>
      <c r="H3" s="10">
        <f t="shared" si="0"/>
        <v>55</v>
      </c>
      <c r="I3" s="10">
        <f t="shared" si="0"/>
        <v>55</v>
      </c>
      <c r="J3" s="10">
        <f t="shared" si="0"/>
        <v>55</v>
      </c>
      <c r="K3" s="10">
        <f t="shared" si="0"/>
        <v>55</v>
      </c>
      <c r="L3" s="10">
        <f t="shared" si="0"/>
        <v>55</v>
      </c>
      <c r="M3" s="10">
        <f t="shared" si="0"/>
        <v>55</v>
      </c>
      <c r="N3" s="10">
        <f t="shared" si="0"/>
        <v>55</v>
      </c>
    </row>
    <row r="4" spans="1:14" x14ac:dyDescent="0.25">
      <c r="A4" s="1" t="s">
        <v>4</v>
      </c>
      <c r="B4" s="6">
        <v>5.5E-2</v>
      </c>
      <c r="D4" s="8" t="s">
        <v>21</v>
      </c>
      <c r="E4" s="10">
        <f>B3*B6</f>
        <v>1050</v>
      </c>
      <c r="N4" s="10">
        <f>B3</f>
        <v>1000</v>
      </c>
    </row>
    <row r="5" spans="1:14" ht="30" x14ac:dyDescent="0.25">
      <c r="A5" s="1" t="s">
        <v>5</v>
      </c>
      <c r="B5">
        <v>10</v>
      </c>
      <c r="C5" t="s">
        <v>6</v>
      </c>
      <c r="D5" s="12" t="s">
        <v>22</v>
      </c>
      <c r="E5" s="10">
        <f>E4-D7</f>
        <v>1040</v>
      </c>
    </row>
    <row r="6" spans="1:14" x14ac:dyDescent="0.25">
      <c r="A6" s="1" t="s">
        <v>7</v>
      </c>
      <c r="B6" s="7">
        <v>1.05</v>
      </c>
    </row>
    <row r="7" spans="1:14" x14ac:dyDescent="0.25">
      <c r="A7" s="1" t="s">
        <v>19</v>
      </c>
      <c r="B7" s="4">
        <v>500000</v>
      </c>
      <c r="C7" s="1" t="s">
        <v>20</v>
      </c>
      <c r="D7" s="11">
        <f>B7/B8</f>
        <v>10</v>
      </c>
    </row>
    <row r="8" spans="1:14" x14ac:dyDescent="0.25">
      <c r="A8" s="1" t="s">
        <v>2</v>
      </c>
      <c r="B8" s="24">
        <v>50000</v>
      </c>
    </row>
    <row r="9" spans="1:14" x14ac:dyDescent="0.25">
      <c r="A9" s="1" t="s">
        <v>24</v>
      </c>
      <c r="B9" s="14">
        <v>0.3</v>
      </c>
    </row>
    <row r="12" spans="1:14" x14ac:dyDescent="0.25">
      <c r="A12" s="1" t="s">
        <v>25</v>
      </c>
      <c r="B12" s="13">
        <f>(E3+((B3-E5)/B5))/((B3+E5)/2)</f>
        <v>0.05</v>
      </c>
    </row>
    <row r="13" spans="1:14" x14ac:dyDescent="0.25">
      <c r="A13" s="15" t="s">
        <v>23</v>
      </c>
      <c r="B13" s="16">
        <f>B12*(1-B9)</f>
        <v>3.4999999999999996E-2</v>
      </c>
    </row>
    <row r="16" spans="1:14" x14ac:dyDescent="0.25">
      <c r="A16" s="18" t="s">
        <v>26</v>
      </c>
      <c r="B16" s="18"/>
      <c r="C16" s="18"/>
      <c r="D16" s="18"/>
      <c r="E16" s="18"/>
    </row>
    <row r="17" spans="1:5" x14ac:dyDescent="0.25">
      <c r="A17" s="18"/>
      <c r="B17" s="18"/>
      <c r="C17" s="18"/>
      <c r="D17" s="18"/>
      <c r="E17" s="18"/>
    </row>
    <row r="18" spans="1:5" x14ac:dyDescent="0.25">
      <c r="A18" s="18"/>
      <c r="B18" s="18"/>
      <c r="C18" s="18"/>
      <c r="D18" s="18"/>
      <c r="E18" s="18"/>
    </row>
    <row r="19" spans="1:5" x14ac:dyDescent="0.25">
      <c r="A19" s="18"/>
      <c r="B19" s="18"/>
      <c r="C19" s="18"/>
      <c r="D19" s="18"/>
      <c r="E19" s="18"/>
    </row>
    <row r="20" spans="1:5" x14ac:dyDescent="0.25">
      <c r="A20" s="18"/>
      <c r="B20" s="18"/>
      <c r="C20" s="18"/>
      <c r="D20" s="18"/>
      <c r="E20" s="18"/>
    </row>
    <row r="21" spans="1:5" x14ac:dyDescent="0.25">
      <c r="A21" s="18"/>
      <c r="B21" s="18"/>
      <c r="C21" s="18"/>
      <c r="D21" s="18"/>
      <c r="E21" s="18"/>
    </row>
    <row r="22" spans="1:5" x14ac:dyDescent="0.25">
      <c r="A22" s="18"/>
      <c r="B22" s="18"/>
      <c r="C22" s="18"/>
      <c r="D22" s="18"/>
      <c r="E22" s="18"/>
    </row>
    <row r="23" spans="1:5" x14ac:dyDescent="0.25">
      <c r="A23" s="18"/>
      <c r="B23" s="18"/>
      <c r="C23" s="18"/>
      <c r="D23" s="18"/>
      <c r="E23" s="18"/>
    </row>
  </sheetData>
  <mergeCells count="1">
    <mergeCell ref="A16:E23"/>
  </mergeCells>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90900-F329-4F03-BDCE-59B792C2FA68}">
  <dimension ref="A1:O28"/>
  <sheetViews>
    <sheetView workbookViewId="0">
      <selection activeCell="B16" sqref="B16"/>
    </sheetView>
  </sheetViews>
  <sheetFormatPr baseColWidth="10" defaultRowHeight="15" x14ac:dyDescent="0.25"/>
  <cols>
    <col min="1" max="1" width="33.140625" bestFit="1" customWidth="1"/>
    <col min="2" max="2" width="13" bestFit="1" customWidth="1"/>
    <col min="3" max="3" width="24.140625" bestFit="1" customWidth="1"/>
    <col min="5" max="5" width="25.28515625" customWidth="1"/>
  </cols>
  <sheetData>
    <row r="1" spans="1:15" x14ac:dyDescent="0.25">
      <c r="A1" s="2" t="s">
        <v>0</v>
      </c>
      <c r="F1" s="1" t="s">
        <v>8</v>
      </c>
      <c r="G1" s="1" t="s">
        <v>9</v>
      </c>
      <c r="H1" s="1" t="s">
        <v>10</v>
      </c>
      <c r="I1" s="1" t="s">
        <v>11</v>
      </c>
      <c r="J1" s="1" t="s">
        <v>12</v>
      </c>
      <c r="K1" s="1" t="s">
        <v>13</v>
      </c>
      <c r="L1" s="1" t="s">
        <v>14</v>
      </c>
      <c r="M1" s="1" t="s">
        <v>15</v>
      </c>
      <c r="N1" s="1" t="s">
        <v>16</v>
      </c>
      <c r="O1" s="1" t="s">
        <v>17</v>
      </c>
    </row>
    <row r="2" spans="1:15" x14ac:dyDescent="0.25">
      <c r="A2" s="2" t="s">
        <v>1</v>
      </c>
      <c r="F2" s="19"/>
      <c r="G2" s="8"/>
      <c r="H2" s="9"/>
      <c r="I2" s="9"/>
      <c r="J2" s="9"/>
      <c r="K2" s="9"/>
      <c r="L2" s="9"/>
      <c r="M2" s="9"/>
      <c r="N2" s="9"/>
      <c r="O2" s="9"/>
    </row>
    <row r="3" spans="1:15" x14ac:dyDescent="0.25">
      <c r="A3" s="1" t="s">
        <v>3</v>
      </c>
      <c r="B3" s="5">
        <v>1000</v>
      </c>
      <c r="E3" s="8" t="s">
        <v>18</v>
      </c>
      <c r="F3" s="10">
        <f>B3*B4</f>
        <v>55</v>
      </c>
      <c r="G3" s="10">
        <f>F3</f>
        <v>55</v>
      </c>
      <c r="H3" s="10">
        <f t="shared" ref="H3:O3" si="0">G3</f>
        <v>55</v>
      </c>
      <c r="I3" s="10">
        <f t="shared" si="0"/>
        <v>55</v>
      </c>
      <c r="J3" s="10">
        <f t="shared" si="0"/>
        <v>55</v>
      </c>
      <c r="K3" s="10">
        <f t="shared" si="0"/>
        <v>55</v>
      </c>
      <c r="L3" s="10">
        <f t="shared" si="0"/>
        <v>55</v>
      </c>
      <c r="M3" s="10">
        <f t="shared" si="0"/>
        <v>55</v>
      </c>
      <c r="N3" s="10">
        <f t="shared" si="0"/>
        <v>55</v>
      </c>
      <c r="O3" s="10">
        <f t="shared" si="0"/>
        <v>55</v>
      </c>
    </row>
    <row r="4" spans="1:15" x14ac:dyDescent="0.25">
      <c r="A4" s="1" t="s">
        <v>4</v>
      </c>
      <c r="B4" s="6">
        <v>5.5E-2</v>
      </c>
      <c r="E4" s="8" t="s">
        <v>21</v>
      </c>
      <c r="G4" s="10">
        <f>B3*B6</f>
        <v>960</v>
      </c>
      <c r="O4" s="10">
        <f>B3</f>
        <v>1000</v>
      </c>
    </row>
    <row r="5" spans="1:15" ht="30" x14ac:dyDescent="0.25">
      <c r="A5" s="1" t="s">
        <v>5</v>
      </c>
      <c r="B5">
        <v>10</v>
      </c>
      <c r="E5" s="12" t="s">
        <v>22</v>
      </c>
      <c r="G5" s="10">
        <f>G4-D7</f>
        <v>950</v>
      </c>
    </row>
    <row r="6" spans="1:15" x14ac:dyDescent="0.25">
      <c r="A6" s="1" t="s">
        <v>27</v>
      </c>
      <c r="B6" s="7">
        <v>0.96</v>
      </c>
    </row>
    <row r="7" spans="1:15" x14ac:dyDescent="0.25">
      <c r="A7" s="1" t="s">
        <v>19</v>
      </c>
      <c r="B7" s="11">
        <v>500000</v>
      </c>
      <c r="C7" s="1" t="s">
        <v>20</v>
      </c>
      <c r="D7" s="11">
        <f>B7/B8</f>
        <v>10</v>
      </c>
    </row>
    <row r="8" spans="1:15" x14ac:dyDescent="0.25">
      <c r="A8" s="1" t="s">
        <v>2</v>
      </c>
      <c r="B8" s="24">
        <v>50000</v>
      </c>
    </row>
    <row r="9" spans="1:15" x14ac:dyDescent="0.25">
      <c r="A9" s="1" t="s">
        <v>24</v>
      </c>
      <c r="B9" s="14">
        <v>0.3</v>
      </c>
    </row>
    <row r="10" spans="1:15" x14ac:dyDescent="0.25">
      <c r="A10" s="1" t="s">
        <v>28</v>
      </c>
      <c r="B10">
        <v>1</v>
      </c>
      <c r="C10" t="s">
        <v>29</v>
      </c>
    </row>
    <row r="11" spans="1:15" x14ac:dyDescent="0.25">
      <c r="A11" s="1" t="s">
        <v>31</v>
      </c>
      <c r="B11" s="6">
        <v>5.7500000000000002E-2</v>
      </c>
    </row>
    <row r="14" spans="1:15" x14ac:dyDescent="0.25">
      <c r="A14" s="1" t="s">
        <v>25</v>
      </c>
      <c r="B14" s="13">
        <f>((55+(B3-G5)/(B5-B10)))/((B3+G5)/2)</f>
        <v>6.2108262108262112E-2</v>
      </c>
      <c r="C14" s="17" t="s">
        <v>33</v>
      </c>
      <c r="D14" s="6">
        <f>B11</f>
        <v>5.7500000000000002E-2</v>
      </c>
      <c r="E14" t="s">
        <v>34</v>
      </c>
    </row>
    <row r="15" spans="1:15" x14ac:dyDescent="0.25">
      <c r="A15" s="1" t="s">
        <v>30</v>
      </c>
      <c r="B15" s="6">
        <f>B14*(1-B9)</f>
        <v>4.3475783475783479E-2</v>
      </c>
    </row>
    <row r="16" spans="1:15" x14ac:dyDescent="0.25">
      <c r="A16" s="15" t="s">
        <v>32</v>
      </c>
      <c r="B16" s="16">
        <f>B11*(1-B9)</f>
        <v>4.0250000000000001E-2</v>
      </c>
    </row>
    <row r="19" spans="1:7" x14ac:dyDescent="0.25">
      <c r="A19" s="18" t="s">
        <v>35</v>
      </c>
      <c r="B19" s="18"/>
      <c r="C19" s="18"/>
      <c r="D19" s="18"/>
      <c r="E19" s="18"/>
      <c r="F19" s="18"/>
      <c r="G19" s="18"/>
    </row>
    <row r="20" spans="1:7" x14ac:dyDescent="0.25">
      <c r="A20" s="18"/>
      <c r="B20" s="18"/>
      <c r="C20" s="18"/>
      <c r="D20" s="18"/>
      <c r="E20" s="18"/>
      <c r="F20" s="18"/>
      <c r="G20" s="18"/>
    </row>
    <row r="21" spans="1:7" x14ac:dyDescent="0.25">
      <c r="A21" s="18"/>
      <c r="B21" s="18"/>
      <c r="C21" s="18"/>
      <c r="D21" s="18"/>
      <c r="E21" s="18"/>
      <c r="F21" s="18"/>
      <c r="G21" s="18"/>
    </row>
    <row r="22" spans="1:7" x14ac:dyDescent="0.25">
      <c r="A22" s="18"/>
      <c r="B22" s="18"/>
      <c r="C22" s="18"/>
      <c r="D22" s="18"/>
      <c r="E22" s="18"/>
      <c r="F22" s="18"/>
      <c r="G22" s="18"/>
    </row>
    <row r="23" spans="1:7" x14ac:dyDescent="0.25">
      <c r="A23" s="18"/>
      <c r="B23" s="18"/>
      <c r="C23" s="18"/>
      <c r="D23" s="18"/>
      <c r="E23" s="18"/>
      <c r="F23" s="18"/>
      <c r="G23" s="18"/>
    </row>
    <row r="24" spans="1:7" x14ac:dyDescent="0.25">
      <c r="A24" s="18"/>
      <c r="B24" s="18"/>
      <c r="C24" s="18"/>
      <c r="D24" s="18"/>
      <c r="E24" s="18"/>
      <c r="F24" s="18"/>
      <c r="G24" s="18"/>
    </row>
    <row r="25" spans="1:7" x14ac:dyDescent="0.25">
      <c r="A25" s="18"/>
      <c r="B25" s="18"/>
      <c r="C25" s="18"/>
      <c r="D25" s="18"/>
      <c r="E25" s="18"/>
      <c r="F25" s="18"/>
      <c r="G25" s="18"/>
    </row>
    <row r="26" spans="1:7" x14ac:dyDescent="0.25">
      <c r="A26" s="18"/>
      <c r="B26" s="18"/>
      <c r="C26" s="18"/>
      <c r="D26" s="18"/>
      <c r="E26" s="18"/>
      <c r="F26" s="18"/>
      <c r="G26" s="18"/>
    </row>
    <row r="27" spans="1:7" x14ac:dyDescent="0.25">
      <c r="A27" s="18"/>
      <c r="B27" s="18"/>
      <c r="C27" s="18"/>
      <c r="D27" s="18"/>
      <c r="E27" s="18"/>
      <c r="F27" s="18"/>
      <c r="G27" s="18"/>
    </row>
    <row r="28" spans="1:7" x14ac:dyDescent="0.25">
      <c r="A28" s="18"/>
      <c r="B28" s="18"/>
      <c r="C28" s="18"/>
      <c r="D28" s="18"/>
      <c r="E28" s="18"/>
      <c r="F28" s="18"/>
      <c r="G28" s="18"/>
    </row>
  </sheetData>
  <mergeCells count="1">
    <mergeCell ref="A19:G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622A7-8824-4718-A6D5-78988CB47DE6}">
  <dimension ref="A1:K32"/>
  <sheetViews>
    <sheetView workbookViewId="0">
      <selection activeCell="D15" sqref="D15:E15"/>
    </sheetView>
  </sheetViews>
  <sheetFormatPr baseColWidth="10" defaultRowHeight="15" x14ac:dyDescent="0.25"/>
  <cols>
    <col min="1" max="1" width="25.28515625" style="1" bestFit="1" customWidth="1"/>
    <col min="2" max="2" width="15.5703125" bestFit="1" customWidth="1"/>
    <col min="5" max="5" width="15.5703125" bestFit="1" customWidth="1"/>
    <col min="7" max="7" width="13.7109375" bestFit="1" customWidth="1"/>
    <col min="8" max="8" width="15.5703125" bestFit="1" customWidth="1"/>
    <col min="10" max="10" width="24.7109375" bestFit="1" customWidth="1"/>
    <col min="11" max="11" width="14.140625" bestFit="1" customWidth="1"/>
  </cols>
  <sheetData>
    <row r="1" spans="1:11" x14ac:dyDescent="0.25">
      <c r="A1" s="2" t="s">
        <v>36</v>
      </c>
    </row>
    <row r="2" spans="1:11" x14ac:dyDescent="0.25">
      <c r="A2" s="2" t="s">
        <v>37</v>
      </c>
    </row>
    <row r="3" spans="1:11" x14ac:dyDescent="0.25">
      <c r="A3" s="20" t="s">
        <v>38</v>
      </c>
      <c r="B3" s="21"/>
      <c r="D3" s="21" t="s">
        <v>42</v>
      </c>
      <c r="E3" s="22">
        <f>B4+B5*(B6-B4)</f>
        <v>0.11950000000000001</v>
      </c>
    </row>
    <row r="4" spans="1:11" x14ac:dyDescent="0.25">
      <c r="A4" s="20" t="s">
        <v>39</v>
      </c>
      <c r="B4" s="22">
        <v>3.5000000000000003E-2</v>
      </c>
    </row>
    <row r="5" spans="1:11" x14ac:dyDescent="0.25">
      <c r="A5" s="20" t="s">
        <v>40</v>
      </c>
      <c r="B5" s="21">
        <v>1.3</v>
      </c>
    </row>
    <row r="6" spans="1:11" x14ac:dyDescent="0.25">
      <c r="A6" s="20" t="s">
        <v>41</v>
      </c>
      <c r="B6" s="23">
        <v>0.1</v>
      </c>
    </row>
    <row r="9" spans="1:11" x14ac:dyDescent="0.25">
      <c r="A9" s="25" t="s">
        <v>43</v>
      </c>
      <c r="B9" s="9"/>
      <c r="D9" s="3" t="s">
        <v>47</v>
      </c>
      <c r="E9" s="28">
        <f>B13</f>
        <v>20000000</v>
      </c>
      <c r="G9" s="3" t="s">
        <v>48</v>
      </c>
      <c r="H9" s="7">
        <f>B14</f>
        <v>1</v>
      </c>
      <c r="J9" t="s">
        <v>54</v>
      </c>
      <c r="K9" s="42">
        <f>B15</f>
        <v>36000000</v>
      </c>
    </row>
    <row r="10" spans="1:11" x14ac:dyDescent="0.25">
      <c r="A10" s="25" t="s">
        <v>44</v>
      </c>
      <c r="B10" s="26">
        <v>0.02</v>
      </c>
      <c r="D10" s="30" t="s">
        <v>50</v>
      </c>
      <c r="E10" s="29">
        <f>B19*B20</f>
        <v>2750000</v>
      </c>
      <c r="G10" s="3" t="s">
        <v>52</v>
      </c>
      <c r="H10" s="28">
        <f>E13</f>
        <v>12075000</v>
      </c>
      <c r="J10" t="s">
        <v>55</v>
      </c>
      <c r="K10" s="28">
        <f>B12</f>
        <v>2</v>
      </c>
    </row>
    <row r="11" spans="1:11" x14ac:dyDescent="0.25">
      <c r="A11" s="25" t="s">
        <v>45</v>
      </c>
      <c r="B11" s="27">
        <v>8</v>
      </c>
      <c r="D11" s="1" t="s">
        <v>49</v>
      </c>
      <c r="E11" s="40">
        <f>E9-E10</f>
        <v>17250000</v>
      </c>
      <c r="G11" s="1" t="s">
        <v>53</v>
      </c>
      <c r="H11" s="40">
        <f>H10*H9</f>
        <v>12075000</v>
      </c>
      <c r="J11" s="1" t="s">
        <v>56</v>
      </c>
      <c r="K11" s="4">
        <f>K9/K10</f>
        <v>18000000</v>
      </c>
    </row>
    <row r="12" spans="1:11" x14ac:dyDescent="0.25">
      <c r="A12" s="25" t="s">
        <v>46</v>
      </c>
      <c r="B12" s="27">
        <v>2</v>
      </c>
      <c r="D12" s="31" t="s">
        <v>51</v>
      </c>
      <c r="E12" s="32">
        <f>E11*B21</f>
        <v>5175000</v>
      </c>
    </row>
    <row r="13" spans="1:11" x14ac:dyDescent="0.25">
      <c r="A13" s="25" t="s">
        <v>47</v>
      </c>
      <c r="B13" s="27">
        <v>20000000</v>
      </c>
      <c r="D13" s="1" t="s">
        <v>52</v>
      </c>
      <c r="E13" s="40">
        <f>E11-E12</f>
        <v>12075000</v>
      </c>
      <c r="J13" s="1" t="s">
        <v>57</v>
      </c>
      <c r="K13" s="43">
        <f>H11/K11</f>
        <v>0.67083333333333328</v>
      </c>
    </row>
    <row r="14" spans="1:11" x14ac:dyDescent="0.25">
      <c r="A14" s="25" t="s">
        <v>48</v>
      </c>
      <c r="B14" s="26">
        <v>1</v>
      </c>
    </row>
    <row r="15" spans="1:11" x14ac:dyDescent="0.25">
      <c r="A15" s="25" t="s">
        <v>54</v>
      </c>
      <c r="B15" s="41">
        <v>36000000</v>
      </c>
      <c r="D15" s="44" t="s">
        <v>42</v>
      </c>
      <c r="E15" s="45">
        <f>(K13/B11)+B10</f>
        <v>0.10385416666666666</v>
      </c>
    </row>
    <row r="16" spans="1:11" x14ac:dyDescent="0.25">
      <c r="A16" s="33"/>
      <c r="B16" s="34"/>
    </row>
    <row r="18" spans="1:7" x14ac:dyDescent="0.25">
      <c r="A18" s="35" t="s">
        <v>1</v>
      </c>
      <c r="B18" s="36"/>
    </row>
    <row r="19" spans="1:7" x14ac:dyDescent="0.25">
      <c r="A19" s="37" t="s">
        <v>2</v>
      </c>
      <c r="B19" s="38">
        <v>50000</v>
      </c>
    </row>
    <row r="20" spans="1:7" x14ac:dyDescent="0.25">
      <c r="A20" s="37" t="s">
        <v>18</v>
      </c>
      <c r="B20" s="38">
        <v>55</v>
      </c>
    </row>
    <row r="21" spans="1:7" x14ac:dyDescent="0.25">
      <c r="A21" s="37" t="s">
        <v>24</v>
      </c>
      <c r="B21" s="39">
        <v>0.3</v>
      </c>
    </row>
    <row r="24" spans="1:7" x14ac:dyDescent="0.25">
      <c r="A24" s="18" t="s">
        <v>58</v>
      </c>
      <c r="B24" s="18"/>
      <c r="C24" s="18"/>
      <c r="D24" s="18"/>
      <c r="E24" s="18"/>
      <c r="F24" s="18"/>
      <c r="G24" s="18"/>
    </row>
    <row r="25" spans="1:7" x14ac:dyDescent="0.25">
      <c r="A25" s="18"/>
      <c r="B25" s="18"/>
      <c r="C25" s="18"/>
      <c r="D25" s="18"/>
      <c r="E25" s="18"/>
      <c r="F25" s="18"/>
      <c r="G25" s="18"/>
    </row>
    <row r="26" spans="1:7" x14ac:dyDescent="0.25">
      <c r="A26" s="18"/>
      <c r="B26" s="18"/>
      <c r="C26" s="18"/>
      <c r="D26" s="18"/>
      <c r="E26" s="18"/>
      <c r="F26" s="18"/>
      <c r="G26" s="18"/>
    </row>
    <row r="27" spans="1:7" x14ac:dyDescent="0.25">
      <c r="A27" s="18"/>
      <c r="B27" s="18"/>
      <c r="C27" s="18"/>
      <c r="D27" s="18"/>
      <c r="E27" s="18"/>
      <c r="F27" s="18"/>
      <c r="G27" s="18"/>
    </row>
    <row r="28" spans="1:7" x14ac:dyDescent="0.25">
      <c r="A28" s="18"/>
      <c r="B28" s="18"/>
      <c r="C28" s="18"/>
      <c r="D28" s="18"/>
      <c r="E28" s="18"/>
      <c r="F28" s="18"/>
      <c r="G28" s="18"/>
    </row>
    <row r="29" spans="1:7" x14ac:dyDescent="0.25">
      <c r="A29" s="18"/>
      <c r="B29" s="18"/>
      <c r="C29" s="18"/>
      <c r="D29" s="18"/>
      <c r="E29" s="18"/>
      <c r="F29" s="18"/>
      <c r="G29" s="18"/>
    </row>
    <row r="30" spans="1:7" x14ac:dyDescent="0.25">
      <c r="A30" s="18"/>
      <c r="B30" s="18"/>
      <c r="C30" s="18"/>
      <c r="D30" s="18"/>
      <c r="E30" s="18"/>
      <c r="F30" s="18"/>
      <c r="G30" s="18"/>
    </row>
    <row r="31" spans="1:7" x14ac:dyDescent="0.25">
      <c r="A31" s="18"/>
      <c r="B31" s="18"/>
      <c r="C31" s="18"/>
      <c r="D31" s="18"/>
      <c r="E31" s="18"/>
      <c r="F31" s="18"/>
      <c r="G31" s="18"/>
    </row>
    <row r="32" spans="1:7" x14ac:dyDescent="0.25">
      <c r="A32" s="18"/>
      <c r="B32" s="18"/>
      <c r="C32" s="18"/>
      <c r="D32" s="18"/>
      <c r="E32" s="18"/>
      <c r="F32" s="18"/>
      <c r="G32" s="18"/>
    </row>
  </sheetData>
  <mergeCells count="1">
    <mergeCell ref="A24:G32"/>
  </mergeCells>
  <pageMargins left="0.7" right="0.7" top="0.75" bottom="0.75" header="0.3" footer="0.3"/>
  <ignoredErrors>
    <ignoredError sqref="E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F71F4-8478-4B6D-BFEA-96F6586DA5E9}">
  <dimension ref="A1:J17"/>
  <sheetViews>
    <sheetView tabSelected="1" workbookViewId="0">
      <selection activeCell="D16" sqref="D16"/>
    </sheetView>
  </sheetViews>
  <sheetFormatPr baseColWidth="10" defaultRowHeight="15" x14ac:dyDescent="0.25"/>
  <cols>
    <col min="1" max="1" width="28.140625" bestFit="1" customWidth="1"/>
    <col min="2" max="2" width="15.5703125" bestFit="1" customWidth="1"/>
    <col min="7" max="7" width="14.140625" bestFit="1" customWidth="1"/>
    <col min="8" max="8" width="15.5703125" bestFit="1" customWidth="1"/>
  </cols>
  <sheetData>
    <row r="1" spans="1:10" x14ac:dyDescent="0.25">
      <c r="A1" s="2" t="s">
        <v>0</v>
      </c>
    </row>
    <row r="2" spans="1:10" x14ac:dyDescent="0.25">
      <c r="A2" s="48" t="s">
        <v>37</v>
      </c>
      <c r="B2" s="49"/>
      <c r="F2" s="2" t="s">
        <v>67</v>
      </c>
    </row>
    <row r="3" spans="1:10" x14ac:dyDescent="0.25">
      <c r="A3" s="50" t="s">
        <v>59</v>
      </c>
      <c r="B3" s="51">
        <f>'Part C'!E3</f>
        <v>0.11950000000000001</v>
      </c>
      <c r="F3" t="s">
        <v>37</v>
      </c>
      <c r="G3" s="4">
        <f>B5*B4+B7</f>
        <v>56000000</v>
      </c>
      <c r="H3" t="s">
        <v>68</v>
      </c>
      <c r="I3" s="13">
        <f>G3/(G3+G4)</f>
        <v>0.52830188679245282</v>
      </c>
    </row>
    <row r="4" spans="1:10" x14ac:dyDescent="0.25">
      <c r="A4" s="50" t="s">
        <v>60</v>
      </c>
      <c r="B4" s="52">
        <f>'Part C'!B12</f>
        <v>2</v>
      </c>
      <c r="F4" t="s">
        <v>1</v>
      </c>
      <c r="G4" s="42">
        <f>B12</f>
        <v>50000000</v>
      </c>
      <c r="H4" t="s">
        <v>68</v>
      </c>
      <c r="I4" s="6">
        <f>100%-I3</f>
        <v>0.47169811320754718</v>
      </c>
    </row>
    <row r="5" spans="1:10" x14ac:dyDescent="0.25">
      <c r="A5" s="50" t="s">
        <v>56</v>
      </c>
      <c r="B5" s="53">
        <f>'Part C'!K11</f>
        <v>18000000</v>
      </c>
    </row>
    <row r="6" spans="1:10" x14ac:dyDescent="0.25">
      <c r="A6" s="50" t="s">
        <v>61</v>
      </c>
      <c r="B6" s="52">
        <f>'Part C'!B11</f>
        <v>8</v>
      </c>
    </row>
    <row r="7" spans="1:10" x14ac:dyDescent="0.25">
      <c r="A7" s="50" t="s">
        <v>65</v>
      </c>
      <c r="B7" s="52">
        <v>20000000</v>
      </c>
      <c r="C7" t="s">
        <v>66</v>
      </c>
    </row>
    <row r="9" spans="1:10" x14ac:dyDescent="0.25">
      <c r="F9" s="2"/>
      <c r="G9" s="2" t="s">
        <v>69</v>
      </c>
    </row>
    <row r="10" spans="1:10" x14ac:dyDescent="0.25">
      <c r="A10" s="35" t="s">
        <v>1</v>
      </c>
      <c r="B10" s="36"/>
      <c r="G10" t="s">
        <v>37</v>
      </c>
      <c r="H10" s="4">
        <f>B5*B6</f>
        <v>144000000</v>
      </c>
      <c r="I10" t="s">
        <v>68</v>
      </c>
      <c r="J10" s="13">
        <f>H10/(H10+H11)</f>
        <v>0.75</v>
      </c>
    </row>
    <row r="11" spans="1:10" x14ac:dyDescent="0.25">
      <c r="A11" s="37" t="s">
        <v>23</v>
      </c>
      <c r="B11" s="47">
        <f>'Part B'!B16</f>
        <v>4.0250000000000001E-2</v>
      </c>
      <c r="G11" t="s">
        <v>1</v>
      </c>
      <c r="H11" s="46">
        <f>B12*B14</f>
        <v>48000000</v>
      </c>
      <c r="I11" t="s">
        <v>68</v>
      </c>
      <c r="J11" s="6">
        <f>100%-J10</f>
        <v>0.25</v>
      </c>
    </row>
    <row r="12" spans="1:10" x14ac:dyDescent="0.25">
      <c r="A12" s="37" t="s">
        <v>62</v>
      </c>
      <c r="B12" s="38">
        <v>50000000</v>
      </c>
      <c r="C12" t="s">
        <v>64</v>
      </c>
    </row>
    <row r="13" spans="1:10" x14ac:dyDescent="0.25">
      <c r="A13" s="36" t="s">
        <v>63</v>
      </c>
      <c r="B13" s="38">
        <v>19000000</v>
      </c>
    </row>
    <row r="14" spans="1:10" x14ac:dyDescent="0.25">
      <c r="A14" s="36" t="s">
        <v>70</v>
      </c>
      <c r="B14" s="39">
        <v>0.96</v>
      </c>
    </row>
    <row r="17" spans="1:2" x14ac:dyDescent="0.25">
      <c r="A17" s="15" t="s">
        <v>71</v>
      </c>
      <c r="B17" s="16">
        <f>J10*B3+J11*B11</f>
        <v>9.9687500000000012E-2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dc:creator>
  <cp:lastModifiedBy>alber</cp:lastModifiedBy>
  <dcterms:created xsi:type="dcterms:W3CDTF">2020-10-30T17:45:52Z</dcterms:created>
  <dcterms:modified xsi:type="dcterms:W3CDTF">2020-10-30T19:06:32Z</dcterms:modified>
</cp:coreProperties>
</file>